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05" activeTab="5"/>
  </bookViews>
  <sheets>
    <sheet name="Форма 1" sheetId="1" r:id="rId1"/>
    <sheet name="Форма 2 " sheetId="2" r:id="rId2"/>
    <sheet name="Форма 3" sheetId="3" r:id="rId3"/>
    <sheet name="Форма 4" sheetId="4" r:id="rId4"/>
    <sheet name="Форма 5" sheetId="5" r:id="rId5"/>
    <sheet name="Форма 6" sheetId="6" r:id="rId6"/>
  </sheets>
  <definedNames>
    <definedName name="_xlnm._FilterDatabase" localSheetId="1" hidden="1">'Форма 2 '!$K$7:$O$96</definedName>
    <definedName name="_xlnm._FilterDatabase" localSheetId="2" hidden="1">'Форма 3'!$A$5:$P$95</definedName>
    <definedName name="_xlnm._FilterDatabase" localSheetId="3" hidden="1">'Форма 4'!$C$6:$K$95</definedName>
    <definedName name="_xlnm._FilterDatabase" localSheetId="4" hidden="1">'Форма 5'!$A$4:$L$94</definedName>
    <definedName name="OLE_LINK1" localSheetId="0">'Форма 1'!#REF!</definedName>
    <definedName name="_xlnm.Print_Titles" localSheetId="0">'Форма 1'!$4:$7</definedName>
    <definedName name="_xlnm.Print_Titles" localSheetId="1">'Форма 2 '!$3:$7</definedName>
    <definedName name="_xlnm.Print_Titles" localSheetId="2">'Форма 3'!$5:$6</definedName>
    <definedName name="_xlnm.Print_Titles" localSheetId="3">'Форма 4'!$5:$6</definedName>
    <definedName name="_xlnm.Print_Titles" localSheetId="4">'Форма 5'!$4:$5</definedName>
    <definedName name="_xlnm.Print_Titles" localSheetId="5">'Форма 6'!$4:$6</definedName>
    <definedName name="_xlnm.Print_Area" localSheetId="0">'Форма 1'!$A$1:$S$96</definedName>
    <definedName name="_xlnm.Print_Area" localSheetId="1">'Форма 2 '!$A$1:$J$96</definedName>
    <definedName name="_xlnm.Print_Area" localSheetId="2">'Форма 3'!$A$1:$O$95</definedName>
    <definedName name="_xlnm.Print_Area" localSheetId="3">'Форма 4'!$A$1:$R$95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4" l="1"/>
  <c r="D95" i="3" l="1"/>
  <c r="E95" i="3"/>
  <c r="K74" i="3" l="1"/>
  <c r="K75" i="3"/>
  <c r="K76" i="3"/>
  <c r="D8" i="2" l="1"/>
  <c r="E96" i="1" l="1"/>
  <c r="D96" i="2" l="1"/>
  <c r="F96" i="1"/>
  <c r="J96" i="2"/>
  <c r="I96" i="2"/>
  <c r="H96" i="2"/>
  <c r="G96" i="2"/>
  <c r="F96" i="2"/>
  <c r="E96" i="2"/>
  <c r="F95" i="6" l="1"/>
  <c r="C95" i="6"/>
  <c r="L75" i="5"/>
  <c r="K94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7" i="5"/>
  <c r="J94" i="5"/>
  <c r="I94" i="5"/>
  <c r="H94" i="5"/>
  <c r="E94" i="5"/>
  <c r="D94" i="5"/>
  <c r="C94" i="5"/>
  <c r="R95" i="4"/>
  <c r="Q95" i="4"/>
  <c r="P95" i="4"/>
  <c r="N95" i="4"/>
  <c r="M95" i="4"/>
  <c r="L95" i="4"/>
  <c r="K95" i="4"/>
  <c r="J95" i="4"/>
  <c r="I95" i="4"/>
  <c r="H95" i="4"/>
  <c r="G95" i="4"/>
  <c r="F95" i="4"/>
  <c r="D95" i="4"/>
  <c r="C95" i="4"/>
  <c r="C18" i="5"/>
  <c r="C75" i="5"/>
  <c r="C74" i="5"/>
  <c r="C73" i="5"/>
  <c r="C72" i="5"/>
  <c r="C70" i="5"/>
  <c r="C69" i="5"/>
  <c r="C68" i="5"/>
  <c r="C67" i="5"/>
  <c r="C66" i="5"/>
  <c r="C65" i="5"/>
  <c r="D64" i="5"/>
  <c r="C64" i="5"/>
  <c r="C63" i="5"/>
  <c r="C62" i="5"/>
  <c r="D61" i="5"/>
  <c r="C61" i="5"/>
  <c r="D60" i="5"/>
  <c r="C60" i="5" s="1"/>
  <c r="C59" i="5"/>
  <c r="D58" i="5"/>
  <c r="C58" i="5"/>
  <c r="C57" i="5"/>
  <c r="C56" i="5"/>
  <c r="C55" i="5"/>
  <c r="C54" i="5"/>
  <c r="C53" i="5"/>
  <c r="C52" i="5"/>
  <c r="C51" i="5"/>
  <c r="C50" i="5"/>
  <c r="D49" i="5"/>
  <c r="C49" i="5" s="1"/>
  <c r="C48" i="5"/>
  <c r="C47" i="5"/>
  <c r="C46" i="5"/>
  <c r="C45" i="5"/>
  <c r="C44" i="5"/>
  <c r="C43" i="5"/>
  <c r="D42" i="5"/>
  <c r="C42" i="5" s="1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D26" i="5"/>
  <c r="C26" i="5"/>
  <c r="C25" i="5"/>
  <c r="C24" i="5"/>
  <c r="C23" i="5"/>
  <c r="C22" i="5"/>
  <c r="C21" i="5"/>
  <c r="C20" i="5"/>
  <c r="C19" i="5"/>
  <c r="C17" i="5"/>
  <c r="C16" i="5"/>
  <c r="C15" i="5"/>
  <c r="C14" i="5"/>
  <c r="C13" i="5"/>
  <c r="C12" i="5"/>
  <c r="C11" i="5"/>
  <c r="C10" i="5"/>
  <c r="C9" i="5"/>
  <c r="C8" i="5"/>
  <c r="C7" i="5"/>
  <c r="C6" i="5"/>
  <c r="L63" i="4"/>
  <c r="L45" i="4"/>
  <c r="L13" i="4"/>
  <c r="I76" i="4"/>
  <c r="K76" i="4" s="1"/>
  <c r="J75" i="4"/>
  <c r="I75" i="4"/>
  <c r="J74" i="4"/>
  <c r="I74" i="4"/>
  <c r="J73" i="4"/>
  <c r="I73" i="4"/>
  <c r="J71" i="4"/>
  <c r="I71" i="4"/>
  <c r="J70" i="4"/>
  <c r="I70" i="4"/>
  <c r="J69" i="4"/>
  <c r="I69" i="4"/>
  <c r="I68" i="4"/>
  <c r="I67" i="4"/>
  <c r="I66" i="4"/>
  <c r="I65" i="4"/>
  <c r="J64" i="4"/>
  <c r="I64" i="4"/>
  <c r="I63" i="4"/>
  <c r="J62" i="4"/>
  <c r="I62" i="4"/>
  <c r="I61" i="4"/>
  <c r="I60" i="4"/>
  <c r="J59" i="4"/>
  <c r="I59" i="4"/>
  <c r="I58" i="4"/>
  <c r="I57" i="4"/>
  <c r="I56" i="4"/>
  <c r="I55" i="4"/>
  <c r="I54" i="4"/>
  <c r="I53" i="4"/>
  <c r="I52" i="4"/>
  <c r="J51" i="4"/>
  <c r="I51" i="4"/>
  <c r="I50" i="4"/>
  <c r="I49" i="4"/>
  <c r="I48" i="4"/>
  <c r="J47" i="4"/>
  <c r="I47" i="4"/>
  <c r="J46" i="4"/>
  <c r="I46" i="4"/>
  <c r="I45" i="4"/>
  <c r="I44" i="4"/>
  <c r="I43" i="4"/>
  <c r="I42" i="4"/>
  <c r="J41" i="4"/>
  <c r="I41" i="4"/>
  <c r="I39" i="4"/>
  <c r="I38" i="4"/>
  <c r="I37" i="4"/>
  <c r="I36" i="4"/>
  <c r="I35" i="4"/>
  <c r="J34" i="4"/>
  <c r="I34" i="4"/>
  <c r="J33" i="4"/>
  <c r="I33" i="4"/>
  <c r="J32" i="4"/>
  <c r="I32" i="4"/>
  <c r="I31" i="4"/>
  <c r="I30" i="4"/>
  <c r="I29" i="4"/>
  <c r="I28" i="4"/>
  <c r="I27" i="4"/>
  <c r="I26" i="4"/>
  <c r="I25" i="4"/>
  <c r="J24" i="4"/>
  <c r="I24" i="4"/>
  <c r="I23" i="4"/>
  <c r="J22" i="4"/>
  <c r="I22" i="4"/>
  <c r="J21" i="4"/>
  <c r="I21" i="4"/>
  <c r="J20" i="4"/>
  <c r="I20" i="4"/>
  <c r="I19" i="4"/>
  <c r="I18" i="4"/>
  <c r="J17" i="4"/>
  <c r="I17" i="4"/>
  <c r="J16" i="4"/>
  <c r="I16" i="4"/>
  <c r="J15" i="4"/>
  <c r="I15" i="4"/>
  <c r="J14" i="4"/>
  <c r="I14" i="4"/>
  <c r="I13" i="4"/>
  <c r="I12" i="4"/>
  <c r="I10" i="4"/>
  <c r="I9" i="4"/>
  <c r="I8" i="4"/>
  <c r="I7" i="4"/>
  <c r="H76" i="4"/>
  <c r="E76" i="4"/>
  <c r="D76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O76" i="3"/>
  <c r="O75" i="3"/>
  <c r="O74" i="3"/>
  <c r="O73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95" i="3" s="1"/>
  <c r="J76" i="3"/>
  <c r="J75" i="3"/>
  <c r="J74" i="3"/>
  <c r="J73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N95" i="3"/>
  <c r="M95" i="3"/>
  <c r="L95" i="3"/>
  <c r="J95" i="3"/>
  <c r="K95" i="3" s="1"/>
  <c r="I95" i="3"/>
  <c r="H95" i="3"/>
  <c r="G95" i="3"/>
  <c r="F95" i="3"/>
  <c r="C95" i="3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C67" i="2"/>
  <c r="C66" i="2"/>
  <c r="C65" i="2"/>
  <c r="C64" i="2"/>
  <c r="C62" i="2"/>
  <c r="C61" i="2"/>
  <c r="C59" i="2"/>
  <c r="C58" i="2"/>
  <c r="C56" i="2"/>
  <c r="C52" i="2"/>
  <c r="C51" i="2"/>
  <c r="C50" i="2"/>
  <c r="C49" i="2"/>
  <c r="C46" i="2"/>
  <c r="C43" i="2"/>
  <c r="C42" i="2"/>
  <c r="C23" i="2"/>
  <c r="C22" i="2"/>
  <c r="C21" i="2"/>
  <c r="C19" i="2"/>
  <c r="C17" i="2"/>
  <c r="C16" i="2"/>
  <c r="P96" i="1"/>
  <c r="S8" i="1"/>
  <c r="K96" i="1"/>
  <c r="R96" i="1"/>
  <c r="Q96" i="1"/>
  <c r="O96" i="1"/>
  <c r="N96" i="1"/>
  <c r="M96" i="1"/>
  <c r="L96" i="1"/>
  <c r="J96" i="1"/>
  <c r="I96" i="1"/>
  <c r="H96" i="1"/>
  <c r="G96" i="1"/>
  <c r="D96" i="1"/>
  <c r="L94" i="5" l="1"/>
  <c r="F94" i="5"/>
  <c r="G94" i="5"/>
  <c r="S96" i="1"/>
  <c r="K22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3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K8" i="4"/>
  <c r="K9" i="4"/>
  <c r="K10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3" i="4"/>
  <c r="K74" i="4"/>
  <c r="K75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3" i="4"/>
  <c r="H74" i="4"/>
  <c r="H75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7" i="4" l="1"/>
  <c r="L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76" i="5"/>
  <c r="R90" i="4"/>
  <c r="R92" i="4"/>
  <c r="R93" i="4"/>
  <c r="R91" i="4"/>
  <c r="R87" i="4"/>
  <c r="R78" i="4"/>
  <c r="R79" i="4"/>
  <c r="R88" i="4"/>
  <c r="R77" i="4"/>
  <c r="R89" i="4"/>
  <c r="R80" i="4"/>
  <c r="R84" i="4"/>
  <c r="R85" i="4"/>
  <c r="R81" i="4"/>
  <c r="R86" i="4"/>
  <c r="R82" i="4"/>
  <c r="R83" i="4"/>
  <c r="R94" i="4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77" i="3"/>
  <c r="J94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77" i="3"/>
  <c r="K77" i="3" s="1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78" i="2"/>
  <c r="K90" i="4" l="1"/>
  <c r="K92" i="4"/>
  <c r="K93" i="4"/>
  <c r="K91" i="4"/>
  <c r="K87" i="4"/>
  <c r="K77" i="4"/>
  <c r="K89" i="4"/>
  <c r="K85" i="4"/>
  <c r="K81" i="4"/>
  <c r="K7" i="4"/>
  <c r="H90" i="4"/>
  <c r="H92" i="4"/>
  <c r="H93" i="4"/>
  <c r="H91" i="4"/>
  <c r="H87" i="4"/>
  <c r="H78" i="4"/>
  <c r="H79" i="4"/>
  <c r="H88" i="4"/>
  <c r="H77" i="4"/>
  <c r="H89" i="4"/>
  <c r="H80" i="4"/>
  <c r="H84" i="4"/>
  <c r="H85" i="4"/>
  <c r="H81" i="4"/>
  <c r="H86" i="4"/>
  <c r="H83" i="4"/>
  <c r="H7" i="4"/>
  <c r="L93" i="5" l="1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K94" i="4"/>
  <c r="H94" i="4"/>
  <c r="E48" i="4"/>
  <c r="E47" i="4"/>
  <c r="E46" i="4"/>
  <c r="E45" i="4"/>
  <c r="E44" i="4"/>
  <c r="E43" i="4"/>
  <c r="E42" i="4"/>
  <c r="E41" i="4"/>
  <c r="E40" i="4"/>
  <c r="E39" i="4"/>
  <c r="E38" i="4"/>
  <c r="E37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89" i="4"/>
  <c r="E77" i="4"/>
  <c r="E91" i="4"/>
  <c r="E93" i="4"/>
  <c r="E92" i="4"/>
  <c r="E36" i="4"/>
  <c r="E90" i="4"/>
  <c r="E94" i="4"/>
  <c r="K7" i="3"/>
  <c r="K94" i="3"/>
  <c r="K93" i="3"/>
  <c r="K92" i="3"/>
  <c r="K91" i="3"/>
  <c r="K90" i="3"/>
  <c r="K89" i="3"/>
  <c r="K88" i="3"/>
  <c r="K87" i="3"/>
  <c r="K86" i="3"/>
  <c r="K85" i="3"/>
  <c r="K84" i="3"/>
  <c r="K83" i="3"/>
  <c r="K79" i="3"/>
  <c r="K82" i="3"/>
  <c r="K81" i="3"/>
  <c r="K80" i="3"/>
  <c r="K78" i="3"/>
  <c r="F78" i="3"/>
  <c r="F7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0" i="3"/>
  <c r="F79" i="3"/>
  <c r="F77" i="3"/>
  <c r="S85" i="1"/>
  <c r="S84" i="1"/>
  <c r="S83" i="1"/>
  <c r="S82" i="1"/>
  <c r="S81" i="1"/>
  <c r="S80" i="1"/>
  <c r="S78" i="1"/>
  <c r="S79" i="1"/>
  <c r="S95" i="1"/>
  <c r="S94" i="1"/>
  <c r="S93" i="1"/>
  <c r="S92" i="1"/>
  <c r="S91" i="1"/>
  <c r="S90" i="1"/>
  <c r="S89" i="1"/>
  <c r="S88" i="1"/>
  <c r="S87" i="1"/>
  <c r="S86" i="1"/>
  <c r="S19" i="1" l="1"/>
  <c r="S18" i="1"/>
  <c r="S39" i="1"/>
  <c r="S33" i="1"/>
  <c r="S70" i="1"/>
  <c r="S31" i="1"/>
  <c r="S59" i="1"/>
  <c r="S48" i="1"/>
  <c r="S53" i="1"/>
  <c r="S71" i="1"/>
  <c r="S64" i="1"/>
  <c r="S45" i="1"/>
  <c r="S66" i="1"/>
  <c r="S62" i="1"/>
  <c r="S27" i="1"/>
  <c r="S51" i="1"/>
  <c r="S69" i="1"/>
  <c r="S52" i="1"/>
  <c r="S57" i="1"/>
  <c r="S56" i="1"/>
  <c r="S30" i="1"/>
  <c r="S77" i="1"/>
  <c r="S14" i="1"/>
  <c r="S13" i="1"/>
  <c r="S74" i="1"/>
  <c r="S29" i="1"/>
  <c r="S20" i="1"/>
  <c r="S68" i="1"/>
  <c r="S21" i="1"/>
  <c r="S24" i="1"/>
  <c r="S37" i="1"/>
  <c r="S36" i="1"/>
  <c r="S22" i="1"/>
  <c r="S34" i="1"/>
  <c r="S55" i="1"/>
  <c r="S12" i="1"/>
  <c r="S11" i="1"/>
  <c r="S41" i="1"/>
  <c r="S54" i="1"/>
  <c r="S23" i="1"/>
  <c r="S46" i="1"/>
  <c r="S49" i="1"/>
  <c r="S9" i="1"/>
  <c r="S35" i="1"/>
  <c r="S16" i="1"/>
  <c r="S58" i="1"/>
  <c r="S42" i="1"/>
  <c r="S44" i="1"/>
  <c r="S50" i="1"/>
  <c r="S65" i="1"/>
  <c r="S47" i="1"/>
  <c r="S15" i="1"/>
  <c r="S61" i="1"/>
  <c r="S75" i="1"/>
  <c r="S32" i="1"/>
  <c r="S43" i="1"/>
  <c r="S72" i="1"/>
  <c r="S17" i="1"/>
  <c r="S40" i="1"/>
  <c r="S76" i="1"/>
  <c r="S26" i="1"/>
  <c r="S28" i="1"/>
  <c r="S67" i="1"/>
  <c r="S25" i="1"/>
  <c r="S38" i="1"/>
  <c r="S63" i="1"/>
  <c r="S10" i="1"/>
  <c r="S60" i="1"/>
</calcChain>
</file>

<file path=xl/sharedStrings.xml><?xml version="1.0" encoding="utf-8"?>
<sst xmlns="http://schemas.openxmlformats.org/spreadsheetml/2006/main" count="692" uniqueCount="195">
  <si>
    <t>Форма 1</t>
  </si>
  <si>
    <t xml:space="preserve">N 
пп
</t>
  </si>
  <si>
    <t xml:space="preserve"> Наименование муниципального учреждения</t>
  </si>
  <si>
    <t xml:space="preserve">Бюджетное финансирование       </t>
  </si>
  <si>
    <t xml:space="preserve">Приносящая доход деятельность  </t>
  </si>
  <si>
    <t>Итого (тыс. руб.)</t>
  </si>
  <si>
    <t>Доля средств, полученных от осуществления приносящей доход деятельности, в общем объеме финансирования</t>
  </si>
  <si>
    <t>субсидия на выполнение муниципального задания</t>
  </si>
  <si>
    <t>бюджетные инвестиции (предоставляемые в 
соответствии со статьей 79 Бюджетного кодекса РФ)</t>
  </si>
  <si>
    <t>субсидии на иные цели (предоставляемые в соответствии со статьей 78.1 Бюджетного кодекса Российской Федерации)</t>
  </si>
  <si>
    <t>оказание учреждением муниципальных услуг (работ),  предоставление которых осуществляется на платной основе</t>
  </si>
  <si>
    <t>иная приносящая доход деятельность</t>
  </si>
  <si>
    <t>Иные поступления</t>
  </si>
  <si>
    <t>Д (тыс.руб.)</t>
  </si>
  <si>
    <t>Р (тыс. руб.)</t>
  </si>
  <si>
    <t>всего</t>
  </si>
  <si>
    <t xml:space="preserve">в том числе от сдачи в аренду имущества   
</t>
  </si>
  <si>
    <t>Д (тыс. руб.)</t>
  </si>
  <si>
    <t>Итого</t>
  </si>
  <si>
    <t>Форма 2</t>
  </si>
  <si>
    <t>N пп</t>
  </si>
  <si>
    <t xml:space="preserve">Наименование муниципального учреждения  </t>
  </si>
  <si>
    <t xml:space="preserve">Объем оказанных услуг(работ) в натуральном выражении </t>
  </si>
  <si>
    <t>Финансовый результат хозяйствующего субъекта (тыс. руб.)</t>
  </si>
  <si>
    <t>финансовый результат текущей деятельности муниципального учреждения (в разрезе источников формирования), в том числе:</t>
  </si>
  <si>
    <t>Финансовый результат прошлых отчетных периодов</t>
  </si>
  <si>
    <t>субсидии на  иные цели(предоставляемые в соответствии со статьей 78.1 Бюджетного кодекса РФ)</t>
  </si>
  <si>
    <t xml:space="preserve">иные поступления      </t>
  </si>
  <si>
    <t xml:space="preserve">приносящая доход деятельность   </t>
  </si>
  <si>
    <t xml:space="preserve">Форма 3 </t>
  </si>
  <si>
    <t>Наименование муниципального учреждения</t>
  </si>
  <si>
    <t xml:space="preserve">Среднесписочная численность, чел. </t>
  </si>
  <si>
    <t>Среднемесячная зарабоная плата работника, руб.</t>
  </si>
  <si>
    <t>Среднемесячная заработная плата руководителя, руб.</t>
  </si>
  <si>
    <t xml:space="preserve">Отношение среднемесячной заработной платы руководителя к среднемесячной заработной плате работника </t>
  </si>
  <si>
    <t>Источники покрытия расходов на заработную плату, тыс. руб.</t>
  </si>
  <si>
    <t>Доля расходов на заработную плату в общем объеме расходов</t>
  </si>
  <si>
    <t>Начисления на оплату труда, тыс. руб.</t>
  </si>
  <si>
    <t>средства субсидии на выполнение муниципального задания</t>
  </si>
  <si>
    <t>приносящая доход деятельность</t>
  </si>
  <si>
    <t>иные источники</t>
  </si>
  <si>
    <t xml:space="preserve">средства субсидии на выполнение муниципального задания </t>
  </si>
  <si>
    <t>Форма 4</t>
  </si>
  <si>
    <t>Недвижимое имущество</t>
  </si>
  <si>
    <t xml:space="preserve"> Движимое (особо ценное движимое) имущество  </t>
  </si>
  <si>
    <t>Прочее движимое имущество</t>
  </si>
  <si>
    <t xml:space="preserve"> Площадь объектов недвижимости,  закрепленных на праве оперативного управления (кв.  м)</t>
  </si>
  <si>
    <t xml:space="preserve">  Площадь объектов недвижимости (кв. м)      </t>
  </si>
  <si>
    <t>Арендодатель</t>
  </si>
  <si>
    <t>Сумма уплаченной арендной платы по арендуемым объектам недвижимости (тыс. руб.)</t>
  </si>
  <si>
    <t>остаточная стоимость (тыс.руб.)</t>
  </si>
  <si>
    <t>износ (%)</t>
  </si>
  <si>
    <t xml:space="preserve">Первоначальная (восстановительная) стоимость (тыс.руб.)  </t>
  </si>
  <si>
    <t>остаточная стоимость (тыс. руб.)</t>
  </si>
  <si>
    <t xml:space="preserve">Первоначальная (восстановительная) стоимость (тыс. руб.)  </t>
  </si>
  <si>
    <t xml:space="preserve"> износ (%)</t>
  </si>
  <si>
    <t xml:space="preserve">безвозмездно используемых </t>
  </si>
  <si>
    <t xml:space="preserve">арендуемых  </t>
  </si>
  <si>
    <t>из бюджетных средств</t>
  </si>
  <si>
    <t>из средств  приносящей доход деятельности</t>
  </si>
  <si>
    <t xml:space="preserve"> всего</t>
  </si>
  <si>
    <t>Форма 5</t>
  </si>
  <si>
    <t>Оплата капитального ремонта объекта недвижимости (тыс. руб.)</t>
  </si>
  <si>
    <t>Оплата текущего ремонта объекта недвижимости (тыс. руб.)</t>
  </si>
  <si>
    <t xml:space="preserve"> Оплата коммунальных услуг (тыс. руб.)</t>
  </si>
  <si>
    <t>всего, в том  числе:</t>
  </si>
  <si>
    <t>из средств  субсидии на иные цели</t>
  </si>
  <si>
    <t>из средств от приносящей доход деятельности</t>
  </si>
  <si>
    <t>из средств субсидии на выполнение муниципального задания</t>
  </si>
  <si>
    <t>из средств субсидии на  иные цели</t>
  </si>
  <si>
    <t xml:space="preserve">из средств субсидии на выполнение муниципального задания </t>
  </si>
  <si>
    <t>Форма 6</t>
  </si>
  <si>
    <t xml:space="preserve">Кредиторская задолженность, тыс. руб. </t>
  </si>
  <si>
    <t>Дебиторская задолженность, тыс. руб.</t>
  </si>
  <si>
    <t xml:space="preserve"> Списанная задолженность неплатежеспособных дебиторов, тыс. руб.</t>
  </si>
  <si>
    <t>в том числе просроченная</t>
  </si>
  <si>
    <t>в том числе  просроченная</t>
  </si>
  <si>
    <t>в том числе по заработной плате</t>
  </si>
  <si>
    <t>Первоначальная (восстановительная) стоимость (тыс. руб.)</t>
  </si>
  <si>
    <t>Муниципальное бюджетное учреждение "Межпоселенческая центральная библиотека Томского района" (МБУ "МЦБТР")</t>
  </si>
  <si>
    <t>Муниципальное бюджетное учреждение "Дом культуры с.Рыбалово"</t>
  </si>
  <si>
    <t>Муниципальное бюджетное учреждение "Дом Культуры с.Томское "</t>
  </si>
  <si>
    <t>Муниципальное бюджетное учреждение "Сельский Дом культуры с.Межениновка"</t>
  </si>
  <si>
    <t>Муниципальное бюджетное учреждение "Центральный Дом культуры п.Молодежный"</t>
  </si>
  <si>
    <t>Муниципальное бюджетное учреждение "Социально-культурный центр "Мечта"</t>
  </si>
  <si>
    <t>Муниципальное бюджетное учреждение культуры Центр народного творчества и социально-культурной деятельности "Радуга"</t>
  </si>
  <si>
    <t>Муниципальное бюджетное учреждение культуры "Центр досуга" Заречного сельского поселения</t>
  </si>
  <si>
    <t>Муниципальное бюджетное учреждение "Центральный Дом культуры с.Новорождественское"</t>
  </si>
  <si>
    <t>Муниципальное бюджетное учреждение "Дом культуры с.Новоархангельское"</t>
  </si>
  <si>
    <t>Муниципальное бюджетное учреждение "Культурно-спортивный центр "Радость" п.Мирный</t>
  </si>
  <si>
    <t>Муниципальное бюджетное образовательное учреждение дополнительного образования "Детская школа искусств д.Кисловка"</t>
  </si>
  <si>
    <t>Муниципальное бюджетное образовательное учреждение дополнительного образования "Детская школа искусств п.Зональная Станция"</t>
  </si>
  <si>
    <t>Муниципальное бюджетное образовательное учреждение дополнительного образования "Детская школа искусств п.Молодежный"</t>
  </si>
  <si>
    <t>Муниципальное бюджетное образовательное учреждение дополнительного образования "Детская школа искусств п.Мирный"</t>
  </si>
  <si>
    <t>Муниципальное бюджетное учреждение "Социально-культурный центр Спасского поселения"</t>
  </si>
  <si>
    <t>-</t>
  </si>
  <si>
    <t>МАУ ЦФКиС</t>
  </si>
  <si>
    <r>
      <t xml:space="preserve">Сведения по объему и структуре финансирования муниципальных учреждений за </t>
    </r>
    <r>
      <rPr>
        <u/>
        <sz val="11"/>
        <color theme="1"/>
        <rFont val="Times New Roman"/>
        <family val="1"/>
        <charset val="204"/>
      </rPr>
      <t>2021 год</t>
    </r>
    <r>
      <rPr>
        <sz val="11"/>
        <color theme="1"/>
        <rFont val="Times New Roman"/>
        <family val="1"/>
        <charset val="204"/>
      </rPr>
      <t xml:space="preserve"> 
</t>
    </r>
  </si>
  <si>
    <t>Сведения о финансовом результате деятельности муниципальных учреждений и объеме оказанных ими услуг (работ) за 2021 год</t>
  </si>
  <si>
    <r>
      <t xml:space="preserve">Сведения по численности работающих, объему и структуре затрат на оплату труда муниципальных учреждений за </t>
    </r>
    <r>
      <rPr>
        <u/>
        <sz val="11"/>
        <color theme="1"/>
        <rFont val="Times New Roman"/>
        <family val="1"/>
        <charset val="204"/>
      </rPr>
      <t>2021 год</t>
    </r>
  </si>
  <si>
    <r>
      <t xml:space="preserve">Сведения об имуществе муниципальных учреждений по состоянию на </t>
    </r>
    <r>
      <rPr>
        <u/>
        <sz val="11"/>
        <color theme="1"/>
        <rFont val="Times New Roman"/>
        <family val="1"/>
        <charset val="204"/>
      </rPr>
      <t>2021 год</t>
    </r>
  </si>
  <si>
    <r>
      <t xml:space="preserve">Сведения о затратах муниципальных учреждений на содержание объектов недвижимого имущества и коммунальные услуги за </t>
    </r>
    <r>
      <rPr>
        <u/>
        <sz val="11"/>
        <color theme="1"/>
        <rFont val="Times New Roman"/>
        <family val="1"/>
        <charset val="204"/>
      </rPr>
      <t>2021 год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</si>
  <si>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Сведения о кредиторской, дебиторской задолженности муниципальных учреждений на </t>
    </r>
    <r>
      <rPr>
        <u/>
        <sz val="11"/>
        <color theme="1"/>
        <rFont val="Times New Roman"/>
        <family val="1"/>
        <charset val="204"/>
      </rPr>
      <t>2021 год</t>
    </r>
    <r>
      <rPr>
        <sz val="11"/>
        <color theme="1"/>
        <rFont val="Times New Roman"/>
        <family val="1"/>
        <charset val="204"/>
      </rPr>
      <t xml:space="preserve"> </t>
    </r>
  </si>
  <si>
    <t>Муниципальное бюджетное учреждение "Наумовский сельский культурно-спортивный комплекс"</t>
  </si>
  <si>
    <t>178/125</t>
  </si>
  <si>
    <t>63/65</t>
  </si>
  <si>
    <t>160/140</t>
  </si>
  <si>
    <t>324/269</t>
  </si>
  <si>
    <t>102/151</t>
  </si>
  <si>
    <t>375/187</t>
  </si>
  <si>
    <t>223/96</t>
  </si>
  <si>
    <t>348/246</t>
  </si>
  <si>
    <t>238/235</t>
  </si>
  <si>
    <t>170/103</t>
  </si>
  <si>
    <t>209/159</t>
  </si>
  <si>
    <t>50/50</t>
  </si>
  <si>
    <t>55285,3/58781,7</t>
  </si>
  <si>
    <t>82032,4/35627,2</t>
  </si>
  <si>
    <t>111066,0/72738,7</t>
  </si>
  <si>
    <t>20296,0/87319,3</t>
  </si>
  <si>
    <t>МАУ "ЦФКИС"</t>
  </si>
  <si>
    <t>ООО"Газпром трансгаз Томск", ИП Емельянова Н.Г</t>
  </si>
  <si>
    <t>ИП Безпутин</t>
  </si>
  <si>
    <t>ИП Емельянова Н.Г</t>
  </si>
  <si>
    <t>МАДОУ "Детский сад "Полянка" п. Мирный" Томского района</t>
  </si>
  <si>
    <t>МАДОУ "Детский сад ОВ с.Рыбалово" Томского района</t>
  </si>
  <si>
    <t>МАДОУ "Детский сад с. Корнилово" Томского района</t>
  </si>
  <si>
    <t>МАДОУ "Детский сад с. Малиновка" Томского района</t>
  </si>
  <si>
    <t>МАДОУ "ЦРР - Академия Крохи" Томского района</t>
  </si>
  <si>
    <t>МАДОУ "ЦРР - детский сад д. Кисловка" Томского района</t>
  </si>
  <si>
    <t>МАДОУ "ЦРР - детский сад с.Моряковский Затон " Томского района</t>
  </si>
  <si>
    <t>МАОУ "Зональненская СОШ" Томского района</t>
  </si>
  <si>
    <t>МАОУ "Итатская СОШ" Томского района</t>
  </si>
  <si>
    <t>МАОУ "Калтайская СОШ" Томского района</t>
  </si>
  <si>
    <t>МАОУ "Кафтанчиковская СОШ" Томского района</t>
  </si>
  <si>
    <t>МАОУ "Копыловская СОШ" Томского района</t>
  </si>
  <si>
    <t>МАОУ "Малиновская СОШ" Томского района</t>
  </si>
  <si>
    <t>МАОУ "Моряковская СОШ" Томского района</t>
  </si>
  <si>
    <t>МАОУ "Лицей им.И.В.Авдзейко" Томского района</t>
  </si>
  <si>
    <t>МАОУ СОШ "Интеграция" Томского района</t>
  </si>
  <si>
    <t>МБДОУ "Детский сад "Ромашка" п. Копылово" Томского района</t>
  </si>
  <si>
    <t>МБДОУ "Детский сад "Рябинка" КВ п. Зональная станция" Томского района</t>
  </si>
  <si>
    <t>МБДОУ "Детский сад "Северный парк" Томского района</t>
  </si>
  <si>
    <t>МБДОУ "Детский сад "Сказка" п.Зональная Станция" Томского района</t>
  </si>
  <si>
    <t>МБДОУ "Детский сад КВ д.Нелюбино"</t>
  </si>
  <si>
    <t>МБДОУ "Детский сад КВ п. Молодежный" Томского района</t>
  </si>
  <si>
    <t>МБДОУ "Детский сад ОВ п. Рассвет" Томского района</t>
  </si>
  <si>
    <t>МБДОУ "Детский сад П и ОД " Томского района</t>
  </si>
  <si>
    <t>МБДОУ "Детский сад д. Черная речка" Томского района</t>
  </si>
  <si>
    <t>МБДОУ "Детский сад д.Воронино"</t>
  </si>
  <si>
    <t>МБДОУ "Детский сад п. Аэропорт"</t>
  </si>
  <si>
    <t>МБДОУ "Детский сад с. Батурино" Томского района</t>
  </si>
  <si>
    <t>МБДОУ "Детский сад с. Зоркальцево" Томского района</t>
  </si>
  <si>
    <t>МБДОУ "Детский сад с. Калтай" Томского района</t>
  </si>
  <si>
    <t>МБДОУ "Детский сад с. Октябрьское" Томского района</t>
  </si>
  <si>
    <t>МБДОУ "Детский сад с.Богашево" Томского района</t>
  </si>
  <si>
    <t>МБДОУ "Детский сад с.Кафтанчиково"</t>
  </si>
  <si>
    <t>МБДОУ «Детский сад «Радужный» п.Зональная Станция» Томского района</t>
  </si>
  <si>
    <t>МБОУ "Александровская СОШ" Томского района</t>
  </si>
  <si>
    <t>МБОУ "Басандайская СОШ им.Д.А.Козлова" Томского района</t>
  </si>
  <si>
    <t>МБОУ "Богашевская СОШ им. А.И.Федорова" Томского района</t>
  </si>
  <si>
    <t>МБОУ "Воронинская СОШ" Томского района</t>
  </si>
  <si>
    <t>МБОУ "Зоркальцевская СОШ" Томского района</t>
  </si>
  <si>
    <t>МБОУ "Кисловская СОШ" Томского района</t>
  </si>
  <si>
    <t>МБОУ "Корниловская СОШ" Томского района</t>
  </si>
  <si>
    <t>МБОУ "Курлекская СОШ" Томского района</t>
  </si>
  <si>
    <t>МБОУ "Лучановская СОШ"</t>
  </si>
  <si>
    <t>МБОУ "Мазаловская СОШ" Томского района</t>
  </si>
  <si>
    <t>МБОУ "Межениновская СОШ" Томского района</t>
  </si>
  <si>
    <t>МБОУ "Мирненская СОШ" Томского района</t>
  </si>
  <si>
    <t>МБОУ "Молодёжненская СОШ" Томского района</t>
  </si>
  <si>
    <t>МБОУ "НОШ мкр. "Южные ворота" Томского района</t>
  </si>
  <si>
    <t>МБОУ "Наумовская СОШ" Томского района</t>
  </si>
  <si>
    <t>МБОУ "Нелюбинская СОШ" Томского района</t>
  </si>
  <si>
    <t>МБОУ "Новоархангельская СОШ" Томского района</t>
  </si>
  <si>
    <t>МБОУ "Новорождественская СОШ" Томского района</t>
  </si>
  <si>
    <t>МБОУ "Октябрьская СОШ" Томского района</t>
  </si>
  <si>
    <t>МБОУ "Петуховская СОШ" Томского района</t>
  </si>
  <si>
    <t>МБОУ "Поросинская СОШ" Томского района</t>
  </si>
  <si>
    <t>МБОУ "Рассветовская СОШ" Томского района</t>
  </si>
  <si>
    <t>МБОУ "Рыбаловская СОШ" Томского района</t>
  </si>
  <si>
    <t>МБОУ "Семилуженская СОШ" Томского района</t>
  </si>
  <si>
    <t>МБОУ "Турунтаевская СОШ" Томского района</t>
  </si>
  <si>
    <t>МБОУ "Халдеевская ООШ" Томского района</t>
  </si>
  <si>
    <t>МБОУ "Чернореченская СОШ" Томского района</t>
  </si>
  <si>
    <t>МБОУ ДО "ДДТ" Томского района</t>
  </si>
  <si>
    <t>МБОУ ДО "ДМШ" Томского района</t>
  </si>
  <si>
    <t>МБОУ ДО "ДЮСШ N 1" Томского района</t>
  </si>
  <si>
    <t>МБОУ ДО "ДЮСШ N 2" Томского района</t>
  </si>
  <si>
    <t>МБОУ ДО "ДЮСШ N 4 д. Березкино" Томского района</t>
  </si>
  <si>
    <t>МБОУ ДО "Корниловская ДШИ" Томского района</t>
  </si>
  <si>
    <t>МБОУ ДО "Рыбаловская ДХШ" Томского района</t>
  </si>
  <si>
    <t>МБОУДО "ДЮСШ N3" Томского района</t>
  </si>
  <si>
    <t>МБОУДО "Копыловский п/к "Одиссей""</t>
  </si>
  <si>
    <t>МБДОУ "Детский сад с. Богашево"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</si>
</sst>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00_р_._-;\-* #,##0.00000_р_._-;_-* &quot;-&quot;??_р_._-;_-@_-"/>
    <numFmt numFmtId="166" formatCode="_-* #,##0.00000_р_._-;\-* #,##0.00000_р_._-;_-* &quot;-&quot;?????_р_._-;_-@_-"/>
    <numFmt numFmtId="167" formatCode="_-* #,##0.00000\ _₽_-;\-* #,##0.00000\ _₽_-;_-* &quot;-&quot;?????\ _₽_-;_-@_-"/>
    <numFmt numFmtId="168" formatCode="#,##0.00000"/>
    <numFmt numFmtId="169" formatCode="0.0000"/>
    <numFmt numFmtId="170" formatCode="#,##0.00_ ;\-#,##0.00\ "/>
    <numFmt numFmtId="171" formatCode="#,##0.000"/>
    <numFmt numFmtId="172" formatCode="#,##0.0,"/>
    <numFmt numFmtId="173" formatCode="#,##0.0"/>
    <numFmt numFmtId="174" formatCode="0.000"/>
    <numFmt numFmtId="175" formatCode="0.0"/>
    <numFmt numFmtId="176" formatCode="_-* #,##0.0_р_._-;\-* #,##0.0_р_._-;_-* &quot;-&quot;??_р_._-;_-@_-"/>
    <numFmt numFmtId="177" formatCode="#,##0.000_ ;\-#,##0.00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9" tint="-0.49998474074526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8" fillId="0" borderId="0"/>
  </cellStyleXfs>
  <cellXfs count="17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24" xfId="0" applyFont="1" applyBorder="1"/>
    <xf numFmtId="0" fontId="2" fillId="0" borderId="24" xfId="0" applyFont="1" applyBorder="1" applyAlignment="1">
      <alignment vertical="top" wrapText="1"/>
    </xf>
    <xf numFmtId="0" fontId="2" fillId="0" borderId="24" xfId="0" applyFont="1" applyFill="1" applyBorder="1" applyAlignment="1">
      <alignment horizontal="center" wrapText="1"/>
    </xf>
    <xf numFmtId="0" fontId="2" fillId="0" borderId="21" xfId="0" applyFont="1" applyBorder="1" applyAlignment="1">
      <alignment vertical="top"/>
    </xf>
    <xf numFmtId="2" fontId="2" fillId="0" borderId="21" xfId="0" applyNumberFormat="1" applyFont="1" applyBorder="1" applyAlignment="1">
      <alignment vertical="top" wrapText="1"/>
    </xf>
    <xf numFmtId="165" fontId="2" fillId="0" borderId="0" xfId="0" applyNumberFormat="1" applyFont="1"/>
    <xf numFmtId="0" fontId="3" fillId="0" borderId="21" xfId="0" applyFont="1" applyFill="1" applyBorder="1" applyAlignment="1">
      <alignment vertical="top" wrapText="1"/>
    </xf>
    <xf numFmtId="166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Alignment="1"/>
    <xf numFmtId="9" fontId="4" fillId="0" borderId="0" xfId="0" applyNumberFormat="1" applyFont="1" applyAlignment="1"/>
    <xf numFmtId="9" fontId="2" fillId="0" borderId="0" xfId="0" applyNumberFormat="1" applyFont="1" applyAlignment="1"/>
    <xf numFmtId="9" fontId="5" fillId="0" borderId="0" xfId="0" applyNumberFormat="1" applyFont="1" applyAlignment="1"/>
    <xf numFmtId="9" fontId="5" fillId="0" borderId="0" xfId="0" applyNumberFormat="1" applyFont="1" applyFill="1" applyAlignment="1"/>
    <xf numFmtId="0" fontId="3" fillId="0" borderId="21" xfId="0" applyFont="1" applyBorder="1" applyAlignment="1">
      <alignment horizontal="center" vertical="center"/>
    </xf>
    <xf numFmtId="164" fontId="2" fillId="0" borderId="0" xfId="0" applyNumberFormat="1" applyFont="1" applyFill="1" applyAlignment="1"/>
    <xf numFmtId="167" fontId="2" fillId="0" borderId="0" xfId="0" applyNumberFormat="1" applyFont="1" applyAlignment="1"/>
    <xf numFmtId="2" fontId="2" fillId="0" borderId="0" xfId="0" applyNumberFormat="1" applyFont="1"/>
    <xf numFmtId="0" fontId="3" fillId="0" borderId="21" xfId="0" applyFont="1" applyBorder="1"/>
    <xf numFmtId="0" fontId="3" fillId="0" borderId="0" xfId="0" applyFont="1"/>
    <xf numFmtId="167" fontId="2" fillId="0" borderId="0" xfId="0" applyNumberFormat="1" applyFont="1"/>
    <xf numFmtId="0" fontId="2" fillId="0" borderId="0" xfId="0" applyFont="1" applyBorder="1"/>
    <xf numFmtId="0" fontId="2" fillId="0" borderId="21" xfId="0" applyFont="1" applyBorder="1"/>
    <xf numFmtId="0" fontId="2" fillId="2" borderId="21" xfId="0" applyFont="1" applyFill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9" fontId="6" fillId="3" borderId="0" xfId="0" applyNumberFormat="1" applyFont="1" applyFill="1" applyAlignment="1"/>
    <xf numFmtId="168" fontId="2" fillId="0" borderId="0" xfId="0" applyNumberFormat="1" applyFont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169" fontId="2" fillId="0" borderId="0" xfId="0" applyNumberFormat="1" applyFont="1"/>
    <xf numFmtId="0" fontId="3" fillId="0" borderId="21" xfId="0" applyFont="1" applyBorder="1" applyAlignment="1">
      <alignment horizontal="left"/>
    </xf>
    <xf numFmtId="169" fontId="2" fillId="0" borderId="0" xfId="0" applyNumberFormat="1" applyFont="1" applyAlignment="1"/>
    <xf numFmtId="4" fontId="3" fillId="0" borderId="21" xfId="1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top" wrapText="1"/>
    </xf>
    <xf numFmtId="171" fontId="2" fillId="0" borderId="21" xfId="1" applyNumberFormat="1" applyFont="1" applyBorder="1" applyAlignment="1">
      <alignment horizontal="center" vertical="center" wrapText="1"/>
    </xf>
    <xf numFmtId="171" fontId="3" fillId="0" borderId="21" xfId="1" applyNumberFormat="1" applyFont="1" applyBorder="1" applyAlignment="1">
      <alignment horizontal="center"/>
    </xf>
    <xf numFmtId="171" fontId="3" fillId="0" borderId="21" xfId="1" applyNumberFormat="1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71" fontId="3" fillId="0" borderId="21" xfId="1" applyNumberFormat="1" applyFont="1" applyBorder="1" applyAlignment="1">
      <alignment horizontal="center" vertical="center"/>
    </xf>
    <xf numFmtId="171" fontId="2" fillId="0" borderId="0" xfId="0" applyNumberFormat="1" applyFont="1" applyAlignment="1"/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1" xfId="1" applyNumberFormat="1" applyFont="1" applyBorder="1" applyAlignment="1">
      <alignment horizontal="center" vertical="center"/>
    </xf>
    <xf numFmtId="171" fontId="2" fillId="0" borderId="21" xfId="0" applyNumberFormat="1" applyFont="1" applyBorder="1" applyAlignment="1">
      <alignment horizontal="center" vertical="center" wrapText="1"/>
    </xf>
    <xf numFmtId="171" fontId="3" fillId="0" borderId="21" xfId="1" applyNumberFormat="1" applyFont="1" applyFill="1" applyBorder="1" applyAlignment="1">
      <alignment horizontal="center" vertical="center"/>
    </xf>
    <xf numFmtId="171" fontId="2" fillId="2" borderId="21" xfId="1" applyNumberFormat="1" applyFont="1" applyFill="1" applyBorder="1" applyAlignment="1">
      <alignment horizontal="center" vertical="center" wrapText="1"/>
    </xf>
    <xf numFmtId="171" fontId="2" fillId="0" borderId="21" xfId="1" applyNumberFormat="1" applyFont="1" applyFill="1" applyBorder="1" applyAlignment="1">
      <alignment horizontal="center" vertical="center" wrapText="1"/>
    </xf>
    <xf numFmtId="171" fontId="3" fillId="0" borderId="21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vertical="top" wrapText="1"/>
    </xf>
    <xf numFmtId="0" fontId="3" fillId="0" borderId="21" xfId="0" applyFont="1" applyBorder="1" applyAlignment="1">
      <alignment horizontal="center"/>
    </xf>
    <xf numFmtId="170" fontId="3" fillId="0" borderId="21" xfId="1" applyNumberFormat="1" applyFont="1" applyBorder="1" applyAlignment="1">
      <alignment horizontal="center" vertical="center" wrapText="1"/>
    </xf>
    <xf numFmtId="170" fontId="2" fillId="0" borderId="21" xfId="1" applyNumberFormat="1" applyFont="1" applyBorder="1" applyAlignment="1">
      <alignment horizontal="center" vertical="center" wrapText="1"/>
    </xf>
    <xf numFmtId="168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171" fontId="2" fillId="0" borderId="0" xfId="0" applyNumberFormat="1" applyFont="1"/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2" borderId="21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top" wrapText="1"/>
    </xf>
    <xf numFmtId="0" fontId="11" fillId="2" borderId="21" xfId="0" applyFont="1" applyFill="1" applyBorder="1" applyAlignment="1">
      <alignment vertical="center" wrapText="1"/>
    </xf>
    <xf numFmtId="171" fontId="12" fillId="0" borderId="21" xfId="0" applyNumberFormat="1" applyFont="1" applyFill="1" applyBorder="1" applyAlignment="1" applyProtection="1">
      <alignment horizontal="right" vertical="center" wrapText="1"/>
    </xf>
    <xf numFmtId="171" fontId="12" fillId="0" borderId="21" xfId="0" applyNumberFormat="1" applyFont="1" applyFill="1" applyBorder="1" applyAlignment="1" applyProtection="1">
      <alignment horizontal="center" vertical="center" wrapText="1"/>
    </xf>
    <xf numFmtId="174" fontId="2" fillId="0" borderId="21" xfId="1" applyNumberFormat="1" applyFont="1" applyBorder="1" applyAlignment="1">
      <alignment horizontal="center" vertical="center" wrapText="1"/>
    </xf>
    <xf numFmtId="171" fontId="4" fillId="0" borderId="21" xfId="0" applyNumberFormat="1" applyFont="1" applyFill="1" applyBorder="1" applyAlignment="1" applyProtection="1">
      <alignment horizontal="center" vertical="center" wrapText="1"/>
    </xf>
    <xf numFmtId="171" fontId="4" fillId="0" borderId="21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/>
    </xf>
    <xf numFmtId="171" fontId="2" fillId="0" borderId="0" xfId="0" applyNumberFormat="1" applyFont="1" applyAlignment="1">
      <alignment horizontal="center" vertical="center"/>
    </xf>
    <xf numFmtId="172" fontId="2" fillId="0" borderId="21" xfId="1" applyNumberFormat="1" applyFont="1" applyFill="1" applyBorder="1" applyAlignment="1">
      <alignment horizontal="center" vertical="center" wrapText="1"/>
    </xf>
    <xf numFmtId="172" fontId="4" fillId="0" borderId="21" xfId="0" applyNumberFormat="1" applyFont="1" applyFill="1" applyBorder="1" applyAlignment="1" applyProtection="1">
      <alignment horizontal="center" vertical="center" wrapText="1"/>
    </xf>
    <xf numFmtId="171" fontId="13" fillId="0" borderId="21" xfId="1" applyNumberFormat="1" applyFont="1" applyBorder="1" applyAlignment="1">
      <alignment horizontal="center" vertical="center" wrapText="1"/>
    </xf>
    <xf numFmtId="171" fontId="2" fillId="0" borderId="21" xfId="1" applyNumberFormat="1" applyFont="1" applyFill="1" applyBorder="1" applyAlignment="1">
      <alignment vertical="center" wrapText="1"/>
    </xf>
    <xf numFmtId="171" fontId="13" fillId="0" borderId="21" xfId="1" applyNumberFormat="1" applyFont="1" applyBorder="1" applyAlignment="1">
      <alignment vertical="center" wrapText="1"/>
    </xf>
    <xf numFmtId="171" fontId="4" fillId="0" borderId="21" xfId="0" applyNumberFormat="1" applyFont="1" applyFill="1" applyBorder="1" applyAlignment="1" applyProtection="1">
      <alignment horizontal="right" vertical="center" wrapText="1"/>
    </xf>
    <xf numFmtId="171" fontId="14" fillId="0" borderId="21" xfId="1" applyNumberFormat="1" applyFont="1" applyFill="1" applyBorder="1" applyAlignment="1">
      <alignment vertical="center" wrapText="1"/>
    </xf>
    <xf numFmtId="171" fontId="14" fillId="0" borderId="21" xfId="0" applyNumberFormat="1" applyFont="1" applyFill="1" applyBorder="1" applyAlignment="1">
      <alignment vertical="center"/>
    </xf>
    <xf numFmtId="171" fontId="14" fillId="2" borderId="21" xfId="0" applyNumberFormat="1" applyFont="1" applyFill="1" applyBorder="1" applyAlignment="1">
      <alignment vertical="center"/>
    </xf>
    <xf numFmtId="0" fontId="2" fillId="0" borderId="21" xfId="0" applyNumberFormat="1" applyFont="1" applyFill="1" applyBorder="1" applyAlignment="1">
      <alignment horizontal="center" vertical="center" wrapText="1"/>
    </xf>
    <xf numFmtId="175" fontId="2" fillId="0" borderId="21" xfId="0" applyNumberFormat="1" applyFont="1" applyFill="1" applyBorder="1" applyAlignment="1">
      <alignment horizontal="center"/>
    </xf>
    <xf numFmtId="175" fontId="4" fillId="0" borderId="2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175" fontId="4" fillId="0" borderId="21" xfId="0" applyNumberFormat="1" applyFont="1" applyFill="1" applyBorder="1" applyAlignment="1">
      <alignment horizontal="center" vertical="top"/>
    </xf>
    <xf numFmtId="175" fontId="2" fillId="0" borderId="21" xfId="0" applyNumberFormat="1" applyFont="1" applyFill="1" applyBorder="1" applyAlignment="1">
      <alignment horizontal="center" vertical="center"/>
    </xf>
    <xf numFmtId="175" fontId="4" fillId="0" borderId="21" xfId="0" applyNumberFormat="1" applyFont="1" applyFill="1" applyBorder="1" applyAlignment="1">
      <alignment horizontal="center"/>
    </xf>
    <xf numFmtId="175" fontId="4" fillId="0" borderId="21" xfId="0" applyNumberFormat="1" applyFont="1" applyFill="1" applyBorder="1" applyAlignment="1">
      <alignment horizontal="center" wrapText="1"/>
    </xf>
    <xf numFmtId="175" fontId="13" fillId="0" borderId="21" xfId="0" applyNumberFormat="1" applyFont="1" applyFill="1" applyBorder="1" applyAlignment="1">
      <alignment horizontal="center" vertical="center" wrapText="1"/>
    </xf>
    <xf numFmtId="175" fontId="2" fillId="0" borderId="21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176" fontId="2" fillId="0" borderId="21" xfId="1" applyNumberFormat="1" applyFont="1" applyFill="1" applyBorder="1" applyAlignment="1">
      <alignment vertical="center" wrapText="1"/>
    </xf>
    <xf numFmtId="164" fontId="2" fillId="0" borderId="21" xfId="1" applyNumberFormat="1" applyFont="1" applyFill="1" applyBorder="1" applyAlignment="1">
      <alignment vertical="center" wrapText="1"/>
    </xf>
    <xf numFmtId="173" fontId="13" fillId="0" borderId="21" xfId="0" applyNumberFormat="1" applyFont="1" applyFill="1" applyBorder="1" applyAlignment="1">
      <alignment horizontal="center" vertical="center" wrapText="1"/>
    </xf>
    <xf numFmtId="173" fontId="2" fillId="0" borderId="21" xfId="0" applyNumberFormat="1" applyFont="1" applyFill="1" applyBorder="1" applyAlignment="1">
      <alignment horizontal="center" vertical="center" wrapText="1"/>
    </xf>
    <xf numFmtId="173" fontId="2" fillId="0" borderId="21" xfId="1" applyNumberFormat="1" applyFont="1" applyFill="1" applyBorder="1" applyAlignment="1">
      <alignment horizontal="center" vertical="center" wrapText="1"/>
    </xf>
    <xf numFmtId="173" fontId="4" fillId="0" borderId="21" xfId="0" applyNumberFormat="1" applyFont="1" applyFill="1" applyBorder="1" applyAlignment="1" applyProtection="1">
      <alignment horizontal="center" vertical="center" wrapText="1"/>
    </xf>
    <xf numFmtId="173" fontId="2" fillId="2" borderId="21" xfId="1" applyNumberFormat="1" applyFont="1" applyFill="1" applyBorder="1" applyAlignment="1">
      <alignment horizontal="center" vertical="center" wrapText="1"/>
    </xf>
    <xf numFmtId="164" fontId="2" fillId="0" borderId="21" xfId="1" applyNumberFormat="1" applyFont="1" applyBorder="1" applyAlignment="1">
      <alignment horizontal="center" vertical="center" wrapText="1"/>
    </xf>
    <xf numFmtId="174" fontId="2" fillId="2" borderId="21" xfId="1" applyNumberFormat="1" applyFont="1" applyFill="1" applyBorder="1" applyAlignment="1">
      <alignment horizontal="center" vertical="center" wrapText="1"/>
    </xf>
    <xf numFmtId="177" fontId="2" fillId="0" borderId="21" xfId="1" applyNumberFormat="1" applyFont="1" applyBorder="1" applyAlignment="1">
      <alignment horizontal="center" vertical="center" wrapText="1"/>
    </xf>
    <xf numFmtId="174" fontId="13" fillId="0" borderId="21" xfId="1" applyNumberFormat="1" applyFont="1" applyBorder="1" applyAlignment="1">
      <alignment horizontal="center" vertical="center" wrapText="1"/>
    </xf>
    <xf numFmtId="174" fontId="2" fillId="0" borderId="21" xfId="0" applyNumberFormat="1" applyFont="1" applyBorder="1" applyAlignment="1">
      <alignment horizontal="center" vertical="center" wrapText="1"/>
    </xf>
    <xf numFmtId="174" fontId="12" fillId="0" borderId="29" xfId="0" applyNumberFormat="1" applyFont="1" applyBorder="1" applyAlignment="1" applyProtection="1">
      <alignment horizontal="center" vertical="center" wrapText="1"/>
    </xf>
    <xf numFmtId="174" fontId="15" fillId="0" borderId="29" xfId="0" applyNumberFormat="1" applyFont="1" applyBorder="1" applyAlignment="1" applyProtection="1">
      <alignment horizontal="center" vertical="center" wrapText="1"/>
    </xf>
    <xf numFmtId="170" fontId="2" fillId="0" borderId="2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">
    <cellStyle name="TableStyleLight1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T100"/>
  <sheetViews>
    <sheetView view="pageBreakPreview" zoomScale="80" zoomScaleNormal="90" zoomScaleSheetLayoutView="80" workbookViewId="0">
      <pane xSplit="3" ySplit="7" topLeftCell="D89" activePane="bottomRight" state="frozen"/>
      <selection activeCell="S34" sqref="S34"/>
      <selection pane="topRight" activeCell="S34" sqref="S34"/>
      <selection pane="bottomLeft" activeCell="S34" sqref="S34"/>
      <selection pane="bottomRight" activeCell="G77" sqref="G77"/>
    </sheetView>
  </sheetViews>
  <sheetFormatPr defaultRowHeight="15" x14ac:dyDescent="0.25"/>
  <cols>
    <col min="1" max="1" width="3.28515625" style="1" bestFit="1" customWidth="1"/>
    <col min="2" max="2" width="36.85546875" style="2" customWidth="1"/>
    <col min="3" max="3" width="8.85546875" style="2" hidden="1" customWidth="1"/>
    <col min="4" max="4" width="17.7109375" style="3" customWidth="1"/>
    <col min="5" max="5" width="15.7109375" style="3" customWidth="1"/>
    <col min="6" max="6" width="17" style="3" customWidth="1"/>
    <col min="7" max="7" width="16.5703125" style="3" customWidth="1"/>
    <col min="8" max="8" width="15.7109375" style="3" customWidth="1"/>
    <col min="9" max="9" width="14.42578125" style="3" customWidth="1"/>
    <col min="10" max="10" width="14.28515625" style="3" customWidth="1"/>
    <col min="11" max="11" width="13.7109375" style="3" customWidth="1"/>
    <col min="12" max="12" width="12.28515625" style="3" customWidth="1"/>
    <col min="13" max="13" width="14.5703125" style="3" customWidth="1"/>
    <col min="14" max="14" width="13" style="3" customWidth="1"/>
    <col min="15" max="15" width="13.5703125" style="3" customWidth="1"/>
    <col min="16" max="16" width="12.7109375" style="3" customWidth="1"/>
    <col min="17" max="17" width="16" style="3" customWidth="1"/>
    <col min="18" max="18" width="16.140625" style="4" customWidth="1"/>
    <col min="19" max="19" width="18.5703125" style="3" customWidth="1"/>
    <col min="20" max="20" width="12" style="3" bestFit="1" customWidth="1"/>
    <col min="21" max="16384" width="9.140625" style="3"/>
  </cols>
  <sheetData>
    <row r="1" spans="1:19" x14ac:dyDescent="0.25">
      <c r="O1" s="151"/>
      <c r="P1" s="151"/>
      <c r="Q1" s="152" t="s">
        <v>0</v>
      </c>
      <c r="R1" s="152"/>
      <c r="S1" s="152"/>
    </row>
    <row r="2" spans="1:19" ht="18.75" customHeight="1" x14ac:dyDescent="0.25">
      <c r="F2" s="153" t="s">
        <v>97</v>
      </c>
      <c r="G2" s="153"/>
      <c r="H2" s="153"/>
      <c r="I2" s="153"/>
      <c r="J2" s="153"/>
      <c r="K2" s="153"/>
      <c r="L2" s="153"/>
      <c r="M2" s="153"/>
      <c r="N2" s="153"/>
      <c r="O2" s="151"/>
      <c r="P2" s="151"/>
    </row>
    <row r="3" spans="1:19" ht="15.75" thickBot="1" x14ac:dyDescent="0.3"/>
    <row r="4" spans="1:19" ht="15.75" thickBot="1" x14ac:dyDescent="0.3">
      <c r="A4" s="120" t="s">
        <v>1</v>
      </c>
      <c r="B4" s="123" t="s">
        <v>2</v>
      </c>
      <c r="C4" s="70"/>
      <c r="D4" s="126" t="s">
        <v>3</v>
      </c>
      <c r="E4" s="127"/>
      <c r="F4" s="127"/>
      <c r="G4" s="127"/>
      <c r="H4" s="127"/>
      <c r="I4" s="128"/>
      <c r="J4" s="129" t="s">
        <v>4</v>
      </c>
      <c r="K4" s="130"/>
      <c r="L4" s="130"/>
      <c r="M4" s="130"/>
      <c r="N4" s="130"/>
      <c r="O4" s="130"/>
      <c r="P4" s="131"/>
      <c r="Q4" s="132" t="s">
        <v>5</v>
      </c>
      <c r="R4" s="133"/>
      <c r="S4" s="154" t="s">
        <v>6</v>
      </c>
    </row>
    <row r="5" spans="1:19" s="5" customFormat="1" x14ac:dyDescent="0.25">
      <c r="A5" s="121"/>
      <c r="B5" s="124"/>
      <c r="C5" s="69"/>
      <c r="D5" s="124" t="s">
        <v>7</v>
      </c>
      <c r="E5" s="135"/>
      <c r="F5" s="138" t="s">
        <v>8</v>
      </c>
      <c r="G5" s="139"/>
      <c r="H5" s="138" t="s">
        <v>9</v>
      </c>
      <c r="I5" s="139"/>
      <c r="J5" s="124" t="s">
        <v>10</v>
      </c>
      <c r="K5" s="135"/>
      <c r="L5" s="142" t="s">
        <v>11</v>
      </c>
      <c r="M5" s="142"/>
      <c r="N5" s="142"/>
      <c r="O5" s="143" t="s">
        <v>12</v>
      </c>
      <c r="P5" s="144"/>
      <c r="Q5" s="134"/>
      <c r="R5" s="135"/>
      <c r="S5" s="155"/>
    </row>
    <row r="6" spans="1:19" s="6" customFormat="1" ht="61.5" customHeight="1" x14ac:dyDescent="0.25">
      <c r="A6" s="121"/>
      <c r="B6" s="124"/>
      <c r="C6" s="69"/>
      <c r="D6" s="125"/>
      <c r="E6" s="137"/>
      <c r="F6" s="140"/>
      <c r="G6" s="141"/>
      <c r="H6" s="140"/>
      <c r="I6" s="141"/>
      <c r="J6" s="125"/>
      <c r="K6" s="137"/>
      <c r="L6" s="147" t="s">
        <v>13</v>
      </c>
      <c r="M6" s="148"/>
      <c r="N6" s="149" t="s">
        <v>14</v>
      </c>
      <c r="O6" s="145"/>
      <c r="P6" s="146"/>
      <c r="Q6" s="136"/>
      <c r="R6" s="137"/>
      <c r="S6" s="155"/>
    </row>
    <row r="7" spans="1:19" ht="33" customHeight="1" x14ac:dyDescent="0.25">
      <c r="A7" s="122"/>
      <c r="B7" s="125"/>
      <c r="C7" s="69"/>
      <c r="D7" s="71" t="s">
        <v>13</v>
      </c>
      <c r="E7" s="71" t="s">
        <v>14</v>
      </c>
      <c r="F7" s="71" t="s">
        <v>13</v>
      </c>
      <c r="G7" s="71" t="s">
        <v>14</v>
      </c>
      <c r="H7" s="71" t="s">
        <v>13</v>
      </c>
      <c r="I7" s="71" t="s">
        <v>14</v>
      </c>
      <c r="J7" s="71" t="s">
        <v>13</v>
      </c>
      <c r="K7" s="71" t="s">
        <v>14</v>
      </c>
      <c r="L7" s="7" t="s">
        <v>15</v>
      </c>
      <c r="M7" s="8" t="s">
        <v>16</v>
      </c>
      <c r="N7" s="150"/>
      <c r="O7" s="9" t="s">
        <v>17</v>
      </c>
      <c r="P7" s="9" t="s">
        <v>14</v>
      </c>
      <c r="Q7" s="71" t="s">
        <v>13</v>
      </c>
      <c r="R7" s="71" t="s">
        <v>14</v>
      </c>
      <c r="S7" s="156"/>
    </row>
    <row r="8" spans="1:19" ht="30" x14ac:dyDescent="0.25">
      <c r="A8" s="37">
        <v>1</v>
      </c>
      <c r="B8" s="32" t="s">
        <v>124</v>
      </c>
      <c r="C8" s="11"/>
      <c r="D8" s="81">
        <v>18491.455000000002</v>
      </c>
      <c r="E8" s="82">
        <v>18890.43188</v>
      </c>
      <c r="F8" s="85">
        <v>0</v>
      </c>
      <c r="G8" s="85">
        <v>0</v>
      </c>
      <c r="H8" s="81">
        <v>3237.8865000000001</v>
      </c>
      <c r="I8" s="81">
        <v>3237.8865000000001</v>
      </c>
      <c r="J8" s="78">
        <v>3113.7391699999998</v>
      </c>
      <c r="K8" s="92">
        <v>3300.7291500000001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9">
        <v>24843.080829999999</v>
      </c>
      <c r="R8" s="87">
        <v>25429.04753</v>
      </c>
      <c r="S8" s="48">
        <f>(J8+L8+O8)/Q8</f>
        <v>0.12533627335945838</v>
      </c>
    </row>
    <row r="9" spans="1:19" ht="30" x14ac:dyDescent="0.25">
      <c r="A9" s="37">
        <v>2</v>
      </c>
      <c r="B9" s="32" t="s">
        <v>125</v>
      </c>
      <c r="C9" s="11"/>
      <c r="D9" s="81">
        <v>12977.05</v>
      </c>
      <c r="E9" s="82">
        <v>12973.95248</v>
      </c>
      <c r="F9" s="85">
        <v>0</v>
      </c>
      <c r="G9" s="85">
        <v>0</v>
      </c>
      <c r="H9" s="81">
        <v>1925.2239999999999</v>
      </c>
      <c r="I9" s="81">
        <v>1925.2239999999999</v>
      </c>
      <c r="J9" s="78">
        <v>1335.1771900000001</v>
      </c>
      <c r="K9" s="92">
        <v>1489.90077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9">
        <v>16237.451419999999</v>
      </c>
      <c r="R9" s="87">
        <v>16389.077249999998</v>
      </c>
      <c r="S9" s="48">
        <f t="shared" ref="S9" si="0">(J9+L9+O9)/Q9</f>
        <v>8.2228248477186211E-2</v>
      </c>
    </row>
    <row r="10" spans="1:19" ht="30" x14ac:dyDescent="0.25">
      <c r="A10" s="37">
        <v>3</v>
      </c>
      <c r="B10" s="32" t="s">
        <v>126</v>
      </c>
      <c r="C10" s="11"/>
      <c r="D10" s="81">
        <v>16645.64</v>
      </c>
      <c r="E10" s="82">
        <v>16582.12845</v>
      </c>
      <c r="F10" s="85">
        <v>0</v>
      </c>
      <c r="G10" s="85">
        <v>0</v>
      </c>
      <c r="H10" s="81">
        <v>2819.4</v>
      </c>
      <c r="I10" s="81">
        <v>2819.4</v>
      </c>
      <c r="J10" s="78">
        <v>2446.3481700000002</v>
      </c>
      <c r="K10" s="92">
        <v>3012.0829800000001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9">
        <v>21911.389009999999</v>
      </c>
      <c r="R10" s="87">
        <v>22413.611430000001</v>
      </c>
      <c r="S10" s="48">
        <f t="shared" ref="S10:S53" si="1">(J10+L10+O10)/Q10</f>
        <v>0.11164733412763229</v>
      </c>
    </row>
    <row r="11" spans="1:19" ht="30" x14ac:dyDescent="0.25">
      <c r="A11" s="37">
        <v>4</v>
      </c>
      <c r="B11" s="32" t="s">
        <v>127</v>
      </c>
      <c r="C11" s="11"/>
      <c r="D11" s="81">
        <v>14681.43</v>
      </c>
      <c r="E11" s="82">
        <v>14727.025</v>
      </c>
      <c r="F11" s="85">
        <v>0</v>
      </c>
      <c r="G11" s="85">
        <v>0</v>
      </c>
      <c r="H11" s="81">
        <v>2314.3244</v>
      </c>
      <c r="I11" s="81">
        <v>2314.3244</v>
      </c>
      <c r="J11" s="78">
        <v>1812.36619</v>
      </c>
      <c r="K11" s="92">
        <v>1821.6922400000001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9">
        <v>18808.120589999999</v>
      </c>
      <c r="R11" s="87">
        <v>18863.041639999999</v>
      </c>
      <c r="S11" s="48">
        <f t="shared" si="1"/>
        <v>9.6360834211346377E-2</v>
      </c>
    </row>
    <row r="12" spans="1:19" ht="30" x14ac:dyDescent="0.25">
      <c r="A12" s="37">
        <v>5</v>
      </c>
      <c r="B12" s="32" t="s">
        <v>128</v>
      </c>
      <c r="C12" s="11"/>
      <c r="D12" s="81">
        <v>12849.361000000001</v>
      </c>
      <c r="E12" s="82">
        <v>12701.106879999999</v>
      </c>
      <c r="F12" s="85">
        <v>0</v>
      </c>
      <c r="G12" s="85">
        <v>0</v>
      </c>
      <c r="H12" s="81">
        <v>18521.510289999998</v>
      </c>
      <c r="I12" s="81">
        <v>18521.510289999998</v>
      </c>
      <c r="J12" s="78">
        <v>2557.8943100000001</v>
      </c>
      <c r="K12" s="92">
        <v>2190.22129</v>
      </c>
      <c r="L12" s="88">
        <v>0</v>
      </c>
      <c r="M12" s="88">
        <v>0</v>
      </c>
      <c r="N12" s="88">
        <v>0</v>
      </c>
      <c r="O12" s="90">
        <v>16.895430000000001</v>
      </c>
      <c r="P12" s="90">
        <v>16.895430000000001</v>
      </c>
      <c r="Q12" s="89">
        <v>33945.661610000003</v>
      </c>
      <c r="R12" s="87">
        <v>33429.733890000003</v>
      </c>
      <c r="S12" s="48">
        <f t="shared" si="1"/>
        <v>7.5850333087674943E-2</v>
      </c>
    </row>
    <row r="13" spans="1:19" ht="30" x14ac:dyDescent="0.25">
      <c r="A13" s="37">
        <v>6</v>
      </c>
      <c r="B13" s="32" t="s">
        <v>129</v>
      </c>
      <c r="C13" s="11"/>
      <c r="D13" s="81">
        <v>33455.038999999997</v>
      </c>
      <c r="E13" s="82">
        <v>33433.047160000002</v>
      </c>
      <c r="F13" s="85">
        <v>0</v>
      </c>
      <c r="G13" s="85">
        <v>0</v>
      </c>
      <c r="H13" s="81">
        <v>5509.7246999999998</v>
      </c>
      <c r="I13" s="81">
        <v>5509.7246999999998</v>
      </c>
      <c r="J13" s="78">
        <v>4415.2000900000003</v>
      </c>
      <c r="K13" s="92">
        <v>4527.1625899999999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9">
        <v>43379.963790000002</v>
      </c>
      <c r="R13" s="87">
        <v>43469.934450000001</v>
      </c>
      <c r="S13" s="48">
        <f t="shared" si="1"/>
        <v>0.10177970897748415</v>
      </c>
    </row>
    <row r="14" spans="1:19" ht="45" x14ac:dyDescent="0.25">
      <c r="A14" s="37">
        <v>7</v>
      </c>
      <c r="B14" s="32" t="s">
        <v>130</v>
      </c>
      <c r="C14" s="11"/>
      <c r="D14" s="81">
        <v>25646.741000000002</v>
      </c>
      <c r="E14" s="82">
        <v>25554.54105</v>
      </c>
      <c r="F14" s="85">
        <v>0</v>
      </c>
      <c r="G14" s="85">
        <v>0</v>
      </c>
      <c r="H14" s="81">
        <v>3313.3816000000002</v>
      </c>
      <c r="I14" s="81">
        <v>3313.3816000000002</v>
      </c>
      <c r="J14" s="78">
        <v>2856.18912</v>
      </c>
      <c r="K14" s="92">
        <v>2872.01919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9">
        <v>31816.312529999999</v>
      </c>
      <c r="R14" s="87">
        <v>31739.94184</v>
      </c>
      <c r="S14" s="48">
        <f t="shared" si="1"/>
        <v>8.9771217745829704E-2</v>
      </c>
    </row>
    <row r="15" spans="1:19" ht="30" x14ac:dyDescent="0.25">
      <c r="A15" s="37">
        <v>8</v>
      </c>
      <c r="B15" s="32" t="s">
        <v>131</v>
      </c>
      <c r="C15" s="11"/>
      <c r="D15" s="81">
        <v>70244.532999999996</v>
      </c>
      <c r="E15" s="82">
        <v>69818.966490000006</v>
      </c>
      <c r="F15" s="85">
        <v>0</v>
      </c>
      <c r="G15" s="85">
        <v>0</v>
      </c>
      <c r="H15" s="81">
        <v>17390.556130000001</v>
      </c>
      <c r="I15" s="81">
        <v>17390.556130000001</v>
      </c>
      <c r="J15" s="78">
        <v>401.762</v>
      </c>
      <c r="K15" s="92">
        <v>316.40719999999999</v>
      </c>
      <c r="L15" s="88">
        <v>0</v>
      </c>
      <c r="M15" s="88">
        <v>0</v>
      </c>
      <c r="N15" s="88">
        <v>0</v>
      </c>
      <c r="O15" s="90">
        <v>360.35</v>
      </c>
      <c r="P15" s="90">
        <v>360.35</v>
      </c>
      <c r="Q15" s="89">
        <v>88397.201130000001</v>
      </c>
      <c r="R15" s="87">
        <v>87886.279819999996</v>
      </c>
      <c r="S15" s="48">
        <f t="shared" si="1"/>
        <v>8.6214494379659341E-3</v>
      </c>
    </row>
    <row r="16" spans="1:19" ht="30" x14ac:dyDescent="0.25">
      <c r="A16" s="37">
        <v>9</v>
      </c>
      <c r="B16" s="32" t="s">
        <v>132</v>
      </c>
      <c r="C16" s="11"/>
      <c r="D16" s="81">
        <v>35273.75</v>
      </c>
      <c r="E16" s="82">
        <v>35234.193149999999</v>
      </c>
      <c r="F16" s="85">
        <v>0</v>
      </c>
      <c r="G16" s="85">
        <v>0</v>
      </c>
      <c r="H16" s="81">
        <v>4619.8627100000003</v>
      </c>
      <c r="I16" s="81">
        <v>4619.8627100000003</v>
      </c>
      <c r="J16" s="78">
        <v>837.05163000000005</v>
      </c>
      <c r="K16" s="92">
        <v>857.2817</v>
      </c>
      <c r="L16" s="88">
        <v>0</v>
      </c>
      <c r="M16" s="88">
        <v>0</v>
      </c>
      <c r="N16" s="88">
        <v>0</v>
      </c>
      <c r="O16" s="90">
        <v>3.56</v>
      </c>
      <c r="P16" s="90">
        <v>3.56</v>
      </c>
      <c r="Q16" s="89">
        <v>40734.224340000001</v>
      </c>
      <c r="R16" s="87">
        <v>40714.897559999998</v>
      </c>
      <c r="S16" s="48">
        <f t="shared" si="1"/>
        <v>2.063649532107428E-2</v>
      </c>
    </row>
    <row r="17" spans="1:19" ht="30" x14ac:dyDescent="0.25">
      <c r="A17" s="37">
        <v>10</v>
      </c>
      <c r="B17" s="32" t="s">
        <v>133</v>
      </c>
      <c r="C17" s="11"/>
      <c r="D17" s="81">
        <v>33073.917000000001</v>
      </c>
      <c r="E17" s="82">
        <v>33291.858500000002</v>
      </c>
      <c r="F17" s="85">
        <v>0</v>
      </c>
      <c r="G17" s="85">
        <v>0</v>
      </c>
      <c r="H17" s="81">
        <v>6812.6730699999998</v>
      </c>
      <c r="I17" s="81">
        <v>6812.6730699999998</v>
      </c>
      <c r="J17" s="78">
        <v>910.02230999999995</v>
      </c>
      <c r="K17" s="92">
        <v>1052.43586</v>
      </c>
      <c r="L17" s="88">
        <v>0</v>
      </c>
      <c r="M17" s="88">
        <v>0</v>
      </c>
      <c r="N17" s="88">
        <v>0</v>
      </c>
      <c r="O17" s="90">
        <v>48.213000000000001</v>
      </c>
      <c r="P17" s="90">
        <v>48.213000000000001</v>
      </c>
      <c r="Q17" s="89">
        <v>40844.825620000003</v>
      </c>
      <c r="R17" s="87">
        <v>41205.180569999997</v>
      </c>
      <c r="S17" s="48">
        <f t="shared" si="1"/>
        <v>2.3460384404990389E-2</v>
      </c>
    </row>
    <row r="18" spans="1:19" ht="30" x14ac:dyDescent="0.25">
      <c r="A18" s="37">
        <v>11</v>
      </c>
      <c r="B18" s="32" t="s">
        <v>134</v>
      </c>
      <c r="C18" s="11"/>
      <c r="D18" s="81">
        <v>29540.545999999998</v>
      </c>
      <c r="E18" s="82">
        <v>30156.359260000001</v>
      </c>
      <c r="F18" s="85">
        <v>0</v>
      </c>
      <c r="G18" s="85">
        <v>0</v>
      </c>
      <c r="H18" s="81">
        <v>13377.709720000001</v>
      </c>
      <c r="I18" s="81">
        <v>13377.709720000001</v>
      </c>
      <c r="J18" s="91">
        <v>0</v>
      </c>
      <c r="K18" s="92">
        <v>39.884639999999997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9">
        <v>42918.255720000001</v>
      </c>
      <c r="R18" s="87">
        <v>43573.95362</v>
      </c>
      <c r="S18" s="48">
        <f t="shared" si="1"/>
        <v>0</v>
      </c>
    </row>
    <row r="19" spans="1:19" ht="30" x14ac:dyDescent="0.25">
      <c r="A19" s="37">
        <v>12</v>
      </c>
      <c r="B19" s="32" t="s">
        <v>135</v>
      </c>
      <c r="C19" s="11"/>
      <c r="D19" s="81">
        <v>36461.292000000001</v>
      </c>
      <c r="E19" s="82">
        <v>36786.180509999998</v>
      </c>
      <c r="F19" s="85">
        <v>0</v>
      </c>
      <c r="G19" s="85">
        <v>0</v>
      </c>
      <c r="H19" s="81">
        <v>6064.4263300000002</v>
      </c>
      <c r="I19" s="81">
        <v>6064.4263300000002</v>
      </c>
      <c r="J19" s="78">
        <v>472.78606000000002</v>
      </c>
      <c r="K19" s="92">
        <v>555.64419999999996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9">
        <v>42998.504390000002</v>
      </c>
      <c r="R19" s="87">
        <v>43406.251040000003</v>
      </c>
      <c r="S19" s="48">
        <f t="shared" si="1"/>
        <v>1.0995407089320857E-2</v>
      </c>
    </row>
    <row r="20" spans="1:19" ht="30" x14ac:dyDescent="0.25">
      <c r="A20" s="37">
        <v>13</v>
      </c>
      <c r="B20" s="32" t="s">
        <v>136</v>
      </c>
      <c r="C20" s="11"/>
      <c r="D20" s="81">
        <v>32549.891</v>
      </c>
      <c r="E20" s="82">
        <v>32546.011040000001</v>
      </c>
      <c r="F20" s="85">
        <v>0</v>
      </c>
      <c r="G20" s="85">
        <v>0</v>
      </c>
      <c r="H20" s="81">
        <v>7546.1625199999999</v>
      </c>
      <c r="I20" s="81">
        <v>7546.1625199999999</v>
      </c>
      <c r="J20" s="91">
        <v>0</v>
      </c>
      <c r="K20" s="92">
        <v>0</v>
      </c>
      <c r="L20" s="88">
        <v>0</v>
      </c>
      <c r="M20" s="88">
        <v>0</v>
      </c>
      <c r="N20" s="88">
        <v>0</v>
      </c>
      <c r="O20" s="90">
        <v>133.97</v>
      </c>
      <c r="P20" s="90">
        <v>133.97</v>
      </c>
      <c r="Q20" s="89">
        <v>40230.023520000002</v>
      </c>
      <c r="R20" s="87">
        <v>40226.143559999997</v>
      </c>
      <c r="S20" s="48">
        <f t="shared" si="1"/>
        <v>3.3300999670904489E-3</v>
      </c>
    </row>
    <row r="21" spans="1:19" ht="30" x14ac:dyDescent="0.25">
      <c r="A21" s="37">
        <v>14</v>
      </c>
      <c r="B21" s="32" t="s">
        <v>137</v>
      </c>
      <c r="C21" s="11"/>
      <c r="D21" s="81">
        <v>46968.944000000003</v>
      </c>
      <c r="E21" s="82">
        <v>46921.739500000003</v>
      </c>
      <c r="F21" s="85">
        <v>0</v>
      </c>
      <c r="G21" s="85">
        <v>0</v>
      </c>
      <c r="H21" s="81">
        <v>10997.95795</v>
      </c>
      <c r="I21" s="81">
        <v>10997.95795</v>
      </c>
      <c r="J21" s="91">
        <v>0</v>
      </c>
      <c r="K21" s="92">
        <v>4.11909999999998</v>
      </c>
      <c r="L21" s="88">
        <v>0</v>
      </c>
      <c r="M21" s="88">
        <v>0</v>
      </c>
      <c r="N21" s="88">
        <v>0</v>
      </c>
      <c r="O21" s="90">
        <v>433.71</v>
      </c>
      <c r="P21" s="90">
        <v>433.71</v>
      </c>
      <c r="Q21" s="89">
        <v>58400.611949999999</v>
      </c>
      <c r="R21" s="87">
        <v>58357.526550000002</v>
      </c>
      <c r="S21" s="48">
        <f t="shared" si="1"/>
        <v>7.4264632769828363E-3</v>
      </c>
    </row>
    <row r="22" spans="1:19" ht="30" x14ac:dyDescent="0.25">
      <c r="A22" s="37">
        <v>15</v>
      </c>
      <c r="B22" s="32" t="s">
        <v>138</v>
      </c>
      <c r="C22" s="11"/>
      <c r="D22" s="81">
        <v>63010.63</v>
      </c>
      <c r="E22" s="82">
        <v>61639.52233</v>
      </c>
      <c r="F22" s="85">
        <v>0</v>
      </c>
      <c r="G22" s="85">
        <v>0</v>
      </c>
      <c r="H22" s="81">
        <v>9320.6072199999999</v>
      </c>
      <c r="I22" s="81">
        <v>9320.6072199999999</v>
      </c>
      <c r="J22" s="78">
        <v>956.16823999999997</v>
      </c>
      <c r="K22" s="92">
        <v>902.57225000000005</v>
      </c>
      <c r="L22" s="88">
        <v>0</v>
      </c>
      <c r="M22" s="88">
        <v>0</v>
      </c>
      <c r="N22" s="88">
        <v>0</v>
      </c>
      <c r="O22" s="90">
        <v>243</v>
      </c>
      <c r="P22" s="90">
        <v>243</v>
      </c>
      <c r="Q22" s="89">
        <v>73530.405459999994</v>
      </c>
      <c r="R22" s="87">
        <v>72105.701799999995</v>
      </c>
      <c r="S22" s="48">
        <f t="shared" si="1"/>
        <v>1.6308467667192978E-2</v>
      </c>
    </row>
    <row r="23" spans="1:19" ht="30" x14ac:dyDescent="0.25">
      <c r="A23" s="37">
        <v>16</v>
      </c>
      <c r="B23" s="32" t="s">
        <v>139</v>
      </c>
      <c r="C23" s="11"/>
      <c r="D23" s="81">
        <v>104903.3</v>
      </c>
      <c r="E23" s="82">
        <v>93824.835430000006</v>
      </c>
      <c r="F23" s="85">
        <v>0</v>
      </c>
      <c r="G23" s="85">
        <v>0</v>
      </c>
      <c r="H23" s="81">
        <v>13753.54415</v>
      </c>
      <c r="I23" s="81">
        <v>13753.54415</v>
      </c>
      <c r="J23" s="78">
        <v>529.44705999999996</v>
      </c>
      <c r="K23" s="92">
        <v>88.768060000000105</v>
      </c>
      <c r="L23" s="88">
        <v>0</v>
      </c>
      <c r="M23" s="88">
        <v>0</v>
      </c>
      <c r="N23" s="88">
        <v>0</v>
      </c>
      <c r="O23" s="90">
        <v>844.36300000000006</v>
      </c>
      <c r="P23" s="90">
        <v>844.36300000000006</v>
      </c>
      <c r="Q23" s="89">
        <v>120030.65481000001</v>
      </c>
      <c r="R23" s="87">
        <v>108511.51124000001</v>
      </c>
      <c r="S23" s="48">
        <f t="shared" si="1"/>
        <v>1.1445493338136358E-2</v>
      </c>
    </row>
    <row r="24" spans="1:19" ht="30" x14ac:dyDescent="0.25">
      <c r="A24" s="37">
        <v>17</v>
      </c>
      <c r="B24" s="32" t="s">
        <v>140</v>
      </c>
      <c r="C24" s="11"/>
      <c r="D24" s="81">
        <v>12181.499</v>
      </c>
      <c r="E24" s="82">
        <v>12242.96544</v>
      </c>
      <c r="F24" s="85">
        <v>0</v>
      </c>
      <c r="G24" s="85">
        <v>0</v>
      </c>
      <c r="H24" s="81">
        <v>1859.71785</v>
      </c>
      <c r="I24" s="81">
        <v>1859.71785</v>
      </c>
      <c r="J24" s="78">
        <v>1721.72955</v>
      </c>
      <c r="K24" s="92">
        <v>1680.5930499999999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15762.94715</v>
      </c>
      <c r="R24" s="87">
        <v>15783.27634</v>
      </c>
      <c r="S24" s="48">
        <f t="shared" si="1"/>
        <v>0.10922637331813931</v>
      </c>
    </row>
    <row r="25" spans="1:19" ht="45" x14ac:dyDescent="0.25">
      <c r="A25" s="37">
        <v>18</v>
      </c>
      <c r="B25" s="32" t="s">
        <v>141</v>
      </c>
      <c r="C25" s="11"/>
      <c r="D25" s="81">
        <v>16612.728999999999</v>
      </c>
      <c r="E25" s="82">
        <v>16606.90813</v>
      </c>
      <c r="F25" s="85">
        <v>0</v>
      </c>
      <c r="G25" s="85">
        <v>0</v>
      </c>
      <c r="H25" s="81">
        <v>3578.63</v>
      </c>
      <c r="I25" s="81">
        <v>3578.63</v>
      </c>
      <c r="J25" s="78">
        <v>3023.48918</v>
      </c>
      <c r="K25" s="92">
        <v>3086.2731100000001</v>
      </c>
      <c r="L25" s="88">
        <v>0</v>
      </c>
      <c r="M25" s="88">
        <v>0</v>
      </c>
      <c r="N25" s="88">
        <v>0</v>
      </c>
      <c r="O25" s="90">
        <v>4.7249999999999996</v>
      </c>
      <c r="P25" s="90">
        <v>4.7249999999999996</v>
      </c>
      <c r="Q25" s="89">
        <v>23219.573179999999</v>
      </c>
      <c r="R25" s="87">
        <v>23276.536240000001</v>
      </c>
      <c r="S25" s="48">
        <f t="shared" si="1"/>
        <v>0.13041644463164934</v>
      </c>
    </row>
    <row r="26" spans="1:19" ht="30" x14ac:dyDescent="0.25">
      <c r="A26" s="37">
        <v>19</v>
      </c>
      <c r="B26" s="32" t="s">
        <v>142</v>
      </c>
      <c r="C26" s="11"/>
      <c r="D26" s="81">
        <v>54700.618999999999</v>
      </c>
      <c r="E26" s="82">
        <v>54260.188280000002</v>
      </c>
      <c r="F26" s="85">
        <v>0</v>
      </c>
      <c r="G26" s="85">
        <v>0</v>
      </c>
      <c r="H26" s="81">
        <v>17062.048149999999</v>
      </c>
      <c r="I26" s="81">
        <v>17062.048149999999</v>
      </c>
      <c r="J26" s="78">
        <v>8313.5405300000002</v>
      </c>
      <c r="K26" s="92">
        <v>6475.4931900000001</v>
      </c>
      <c r="L26" s="88">
        <v>0</v>
      </c>
      <c r="M26" s="88">
        <v>0</v>
      </c>
      <c r="N26" s="88">
        <v>0</v>
      </c>
      <c r="O26" s="90">
        <v>16.322569999999999</v>
      </c>
      <c r="P26" s="90">
        <v>16.322569999999999</v>
      </c>
      <c r="Q26" s="89">
        <v>80092.530249999996</v>
      </c>
      <c r="R26" s="87">
        <v>77814.052190000002</v>
      </c>
      <c r="S26" s="48">
        <f t="shared" si="1"/>
        <v>0.10400299595978865</v>
      </c>
    </row>
    <row r="27" spans="1:19" ht="45" x14ac:dyDescent="0.25">
      <c r="A27" s="37">
        <v>20</v>
      </c>
      <c r="B27" s="32" t="s">
        <v>143</v>
      </c>
      <c r="C27" s="11"/>
      <c r="D27" s="81">
        <v>19482.57</v>
      </c>
      <c r="E27" s="82">
        <v>19481.914089999998</v>
      </c>
      <c r="F27" s="85">
        <v>0</v>
      </c>
      <c r="G27" s="85">
        <v>0</v>
      </c>
      <c r="H27" s="81">
        <v>2931.85</v>
      </c>
      <c r="I27" s="81">
        <v>2931.85</v>
      </c>
      <c r="J27" s="78">
        <v>3281.4977600000002</v>
      </c>
      <c r="K27" s="92">
        <v>3332.1750699999998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9">
        <v>25695.91776</v>
      </c>
      <c r="R27" s="87">
        <v>25745.939160000002</v>
      </c>
      <c r="S27" s="48">
        <f t="shared" si="1"/>
        <v>0.12770502266738265</v>
      </c>
    </row>
    <row r="28" spans="1:19" ht="30" x14ac:dyDescent="0.25">
      <c r="A28" s="37">
        <v>21</v>
      </c>
      <c r="B28" s="32" t="s">
        <v>144</v>
      </c>
      <c r="C28" s="11"/>
      <c r="D28" s="81">
        <v>10553.423000000001</v>
      </c>
      <c r="E28" s="83">
        <v>10391.367200000001</v>
      </c>
      <c r="F28" s="85">
        <v>0</v>
      </c>
      <c r="G28" s="85">
        <v>0</v>
      </c>
      <c r="H28" s="81">
        <v>2015.75485</v>
      </c>
      <c r="I28" s="81">
        <v>2015.75485</v>
      </c>
      <c r="J28" s="78">
        <v>946.71792000000005</v>
      </c>
      <c r="K28" s="92">
        <v>940.76164000000006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9">
        <v>13515.895769999999</v>
      </c>
      <c r="R28" s="87">
        <v>13347.883690000001</v>
      </c>
      <c r="S28" s="48">
        <f t="shared" si="1"/>
        <v>7.0044778097604413E-2</v>
      </c>
    </row>
    <row r="29" spans="1:19" ht="30" x14ac:dyDescent="0.25">
      <c r="A29" s="37">
        <v>22</v>
      </c>
      <c r="B29" s="32" t="s">
        <v>145</v>
      </c>
      <c r="C29" s="11"/>
      <c r="D29" s="81">
        <v>14339.645</v>
      </c>
      <c r="E29" s="82">
        <v>14439.337810000001</v>
      </c>
      <c r="F29" s="85">
        <v>0</v>
      </c>
      <c r="G29" s="85">
        <v>0</v>
      </c>
      <c r="H29" s="81">
        <v>2016.30367</v>
      </c>
      <c r="I29" s="81">
        <v>2016.30367</v>
      </c>
      <c r="J29" s="78">
        <v>1827.8833299999999</v>
      </c>
      <c r="K29" s="92">
        <v>1986.40347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9">
        <v>18183.831999999999</v>
      </c>
      <c r="R29" s="87">
        <v>18442.04495</v>
      </c>
      <c r="S29" s="48">
        <f t="shared" si="1"/>
        <v>0.10052244928351736</v>
      </c>
    </row>
    <row r="30" spans="1:19" ht="30" x14ac:dyDescent="0.25">
      <c r="A30" s="37">
        <v>23</v>
      </c>
      <c r="B30" s="32" t="s">
        <v>146</v>
      </c>
      <c r="C30" s="11"/>
      <c r="D30" s="81">
        <v>13327.187</v>
      </c>
      <c r="E30" s="82">
        <v>13404.139209999999</v>
      </c>
      <c r="F30" s="85">
        <v>0</v>
      </c>
      <c r="G30" s="85">
        <v>0</v>
      </c>
      <c r="H30" s="81">
        <v>2246.7489999999998</v>
      </c>
      <c r="I30" s="81">
        <v>2246.7489999999998</v>
      </c>
      <c r="J30" s="78">
        <v>1814.41392</v>
      </c>
      <c r="K30" s="92">
        <v>1912.0486800000001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9">
        <v>17388.350350000001</v>
      </c>
      <c r="R30" s="87">
        <v>17562.936890000001</v>
      </c>
      <c r="S30" s="48">
        <f t="shared" si="1"/>
        <v>0.10434652416581887</v>
      </c>
    </row>
    <row r="31" spans="1:19" ht="30" x14ac:dyDescent="0.25">
      <c r="A31" s="37">
        <v>24</v>
      </c>
      <c r="B31" s="32" t="s">
        <v>147</v>
      </c>
      <c r="C31" s="11"/>
      <c r="D31" s="81">
        <v>6265.3</v>
      </c>
      <c r="E31" s="82">
        <v>6598.7469799999999</v>
      </c>
      <c r="F31" s="85">
        <v>0</v>
      </c>
      <c r="G31" s="85">
        <v>0</v>
      </c>
      <c r="H31" s="81">
        <v>1138.48558</v>
      </c>
      <c r="I31" s="81">
        <v>1138.48558</v>
      </c>
      <c r="J31" s="78">
        <v>660.47756000000004</v>
      </c>
      <c r="K31" s="92">
        <v>690.80389000000002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9">
        <v>8064.26314</v>
      </c>
      <c r="R31" s="87">
        <v>8428.0364499999996</v>
      </c>
      <c r="S31" s="48">
        <f t="shared" si="1"/>
        <v>8.1901786751467545E-2</v>
      </c>
    </row>
    <row r="32" spans="1:19" ht="30" x14ac:dyDescent="0.25">
      <c r="A32" s="37">
        <v>25</v>
      </c>
      <c r="B32" s="32" t="s">
        <v>148</v>
      </c>
      <c r="C32" s="11"/>
      <c r="D32" s="81">
        <v>13037.651</v>
      </c>
      <c r="E32" s="82">
        <v>13017.96351</v>
      </c>
      <c r="F32" s="85">
        <v>0</v>
      </c>
      <c r="G32" s="85">
        <v>0</v>
      </c>
      <c r="H32" s="81">
        <v>1899.52757</v>
      </c>
      <c r="I32" s="81">
        <v>1899.52757</v>
      </c>
      <c r="J32" s="78">
        <v>1836.8809699999999</v>
      </c>
      <c r="K32" s="92">
        <v>1938.38329</v>
      </c>
      <c r="L32" s="88">
        <v>0</v>
      </c>
      <c r="M32" s="88">
        <v>0</v>
      </c>
      <c r="N32" s="88">
        <v>0</v>
      </c>
      <c r="O32" s="90">
        <v>5.1630000000000003</v>
      </c>
      <c r="P32" s="90">
        <v>5.1630000000000003</v>
      </c>
      <c r="Q32" s="89">
        <v>16779.222539999999</v>
      </c>
      <c r="R32" s="87">
        <v>16861.037369999998</v>
      </c>
      <c r="S32" s="48">
        <f t="shared" si="1"/>
        <v>0.1097812467537605</v>
      </c>
    </row>
    <row r="33" spans="1:19" ht="15.75" x14ac:dyDescent="0.25">
      <c r="A33" s="37">
        <v>26</v>
      </c>
      <c r="B33" s="32" t="s">
        <v>149</v>
      </c>
      <c r="C33" s="11"/>
      <c r="D33" s="81">
        <v>10673.308000000001</v>
      </c>
      <c r="E33" s="82">
        <v>10664.7255</v>
      </c>
      <c r="F33" s="85">
        <v>0</v>
      </c>
      <c r="G33" s="85">
        <v>0</v>
      </c>
      <c r="H33" s="81">
        <v>1730.5</v>
      </c>
      <c r="I33" s="81">
        <v>1730.5</v>
      </c>
      <c r="J33" s="78">
        <v>1428.7121400000001</v>
      </c>
      <c r="K33" s="92">
        <v>1412.8644400000001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9">
        <v>13832.520140000001</v>
      </c>
      <c r="R33" s="87">
        <v>13808.08994</v>
      </c>
      <c r="S33" s="48">
        <f t="shared" si="1"/>
        <v>0.10328646736385666</v>
      </c>
    </row>
    <row r="34" spans="1:19" ht="15.75" x14ac:dyDescent="0.25">
      <c r="A34" s="37">
        <v>27</v>
      </c>
      <c r="B34" s="32" t="s">
        <v>150</v>
      </c>
      <c r="C34" s="11"/>
      <c r="D34" s="81">
        <v>25146.261999999999</v>
      </c>
      <c r="E34" s="82">
        <v>25163.251799999998</v>
      </c>
      <c r="F34" s="85">
        <v>0</v>
      </c>
      <c r="G34" s="85">
        <v>0</v>
      </c>
      <c r="H34" s="81">
        <v>3903.17308</v>
      </c>
      <c r="I34" s="81">
        <v>3903.17308</v>
      </c>
      <c r="J34" s="78">
        <v>3003.9461999999999</v>
      </c>
      <c r="K34" s="92">
        <v>3199.53755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9">
        <v>32053.381280000001</v>
      </c>
      <c r="R34" s="87">
        <v>32265.96243</v>
      </c>
      <c r="S34" s="48">
        <f t="shared" si="1"/>
        <v>9.3716983358455838E-2</v>
      </c>
    </row>
    <row r="35" spans="1:19" ht="30" x14ac:dyDescent="0.25">
      <c r="A35" s="37">
        <v>28</v>
      </c>
      <c r="B35" s="32" t="s">
        <v>151</v>
      </c>
      <c r="C35" s="11"/>
      <c r="D35" s="81">
        <v>6774.3270000000002</v>
      </c>
      <c r="E35" s="82">
        <v>6792.8085499999997</v>
      </c>
      <c r="F35" s="85">
        <v>0</v>
      </c>
      <c r="G35" s="85">
        <v>0</v>
      </c>
      <c r="H35" s="81">
        <v>909</v>
      </c>
      <c r="I35" s="81">
        <v>909</v>
      </c>
      <c r="J35" s="78">
        <v>746.51783999999998</v>
      </c>
      <c r="K35" s="92">
        <v>775.83837000000005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9">
        <v>8429.8448399999997</v>
      </c>
      <c r="R35" s="87">
        <v>8477.6469199999992</v>
      </c>
      <c r="S35" s="48">
        <f t="shared" si="1"/>
        <v>8.855653385905024E-2</v>
      </c>
    </row>
    <row r="36" spans="1:19" ht="30" x14ac:dyDescent="0.25">
      <c r="A36" s="37">
        <v>29</v>
      </c>
      <c r="B36" s="32" t="s">
        <v>152</v>
      </c>
      <c r="C36" s="11"/>
      <c r="D36" s="81">
        <v>19628.275000000001</v>
      </c>
      <c r="E36" s="82">
        <v>19548.063160000002</v>
      </c>
      <c r="F36" s="85">
        <v>0</v>
      </c>
      <c r="G36" s="85">
        <v>0</v>
      </c>
      <c r="H36" s="81">
        <v>3470.9180500000002</v>
      </c>
      <c r="I36" s="81">
        <v>3470.9180500000002</v>
      </c>
      <c r="J36" s="78">
        <v>2724.0009100000002</v>
      </c>
      <c r="K36" s="92">
        <v>2679.6547300000002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9">
        <v>25823.193960000001</v>
      </c>
      <c r="R36" s="87">
        <v>25698.63594</v>
      </c>
      <c r="S36" s="48">
        <f t="shared" si="1"/>
        <v>0.10548659914879097</v>
      </c>
    </row>
    <row r="37" spans="1:19" ht="30" x14ac:dyDescent="0.25">
      <c r="A37" s="37">
        <v>30</v>
      </c>
      <c r="B37" s="32" t="s">
        <v>153</v>
      </c>
      <c r="C37" s="11"/>
      <c r="D37" s="81">
        <v>7967.018</v>
      </c>
      <c r="E37" s="82">
        <v>7949.5922899999996</v>
      </c>
      <c r="F37" s="85">
        <v>0</v>
      </c>
      <c r="G37" s="85">
        <v>0</v>
      </c>
      <c r="H37" s="81">
        <v>739.5</v>
      </c>
      <c r="I37" s="81">
        <v>739.5</v>
      </c>
      <c r="J37" s="78">
        <v>1055.4130700000001</v>
      </c>
      <c r="K37" s="92">
        <v>940.26778999999999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9">
        <v>9761.9310700000005</v>
      </c>
      <c r="R37" s="87">
        <v>9629.3600800000004</v>
      </c>
      <c r="S37" s="48">
        <f t="shared" si="1"/>
        <v>0.10811519385170172</v>
      </c>
    </row>
    <row r="38" spans="1:19" ht="30" x14ac:dyDescent="0.25">
      <c r="A38" s="37">
        <v>31</v>
      </c>
      <c r="B38" s="32" t="s">
        <v>154</v>
      </c>
      <c r="C38" s="11"/>
      <c r="D38" s="81">
        <v>13798.5</v>
      </c>
      <c r="E38" s="83">
        <v>13799.490529999999</v>
      </c>
      <c r="F38" s="85">
        <v>0</v>
      </c>
      <c r="G38" s="85">
        <v>0</v>
      </c>
      <c r="H38" s="81">
        <v>2318.4665</v>
      </c>
      <c r="I38" s="81">
        <v>2318.4665</v>
      </c>
      <c r="J38" s="78">
        <v>1375.8904500000001</v>
      </c>
      <c r="K38" s="92">
        <v>1479.3940399999999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9">
        <v>17492.856950000001</v>
      </c>
      <c r="R38" s="87">
        <v>17597.351070000001</v>
      </c>
      <c r="S38" s="48">
        <f t="shared" si="1"/>
        <v>7.8654416138697114E-2</v>
      </c>
    </row>
    <row r="39" spans="1:19" ht="30" x14ac:dyDescent="0.25">
      <c r="A39" s="37">
        <v>32</v>
      </c>
      <c r="B39" s="32" t="s">
        <v>155</v>
      </c>
      <c r="C39" s="47"/>
      <c r="D39" s="81">
        <v>12644.157999999999</v>
      </c>
      <c r="E39" s="82">
        <v>12494.40454</v>
      </c>
      <c r="F39" s="85">
        <v>0</v>
      </c>
      <c r="G39" s="85">
        <v>0</v>
      </c>
      <c r="H39" s="81">
        <v>1571.0409999999999</v>
      </c>
      <c r="I39" s="81">
        <v>1571.0409999999999</v>
      </c>
      <c r="J39" s="78">
        <v>1511.7032099999999</v>
      </c>
      <c r="K39" s="92">
        <v>1571.56618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9">
        <v>15726.902330000001</v>
      </c>
      <c r="R39" s="87">
        <v>15637.01172</v>
      </c>
      <c r="S39" s="48">
        <f t="shared" si="1"/>
        <v>9.6122121081424677E-2</v>
      </c>
    </row>
    <row r="40" spans="1:19" ht="30" x14ac:dyDescent="0.25">
      <c r="A40" s="37">
        <v>33</v>
      </c>
      <c r="B40" s="32" t="s">
        <v>156</v>
      </c>
      <c r="C40" s="47"/>
      <c r="D40" s="81">
        <v>14797.721</v>
      </c>
      <c r="E40" s="82">
        <v>14799.9146</v>
      </c>
      <c r="F40" s="85">
        <v>0</v>
      </c>
      <c r="G40" s="85">
        <v>0</v>
      </c>
      <c r="H40" s="81">
        <v>2092.0988200000002</v>
      </c>
      <c r="I40" s="81">
        <v>2092.0988200000002</v>
      </c>
      <c r="J40" s="78">
        <v>2236.3621600000001</v>
      </c>
      <c r="K40" s="92">
        <v>2300.6828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9">
        <v>19126.18273</v>
      </c>
      <c r="R40" s="87">
        <v>19192.696220000002</v>
      </c>
      <c r="S40" s="48">
        <f t="shared" si="1"/>
        <v>0.11692673815628656</v>
      </c>
    </row>
    <row r="41" spans="1:19" ht="45" x14ac:dyDescent="0.25">
      <c r="A41" s="37">
        <v>34</v>
      </c>
      <c r="B41" s="32" t="s">
        <v>157</v>
      </c>
      <c r="C41" s="47"/>
      <c r="D41" s="81">
        <v>21209.164000000001</v>
      </c>
      <c r="E41" s="82">
        <v>21271.03268</v>
      </c>
      <c r="F41" s="85">
        <v>0</v>
      </c>
      <c r="G41" s="85">
        <v>0</v>
      </c>
      <c r="H41" s="81">
        <v>3171.5111999999999</v>
      </c>
      <c r="I41" s="81">
        <v>3171.5111999999999</v>
      </c>
      <c r="J41" s="78">
        <v>3710.9226399999998</v>
      </c>
      <c r="K41" s="92">
        <v>3724.4077200000002</v>
      </c>
      <c r="L41" s="88"/>
      <c r="M41" s="88"/>
      <c r="N41" s="88"/>
      <c r="O41" s="88">
        <v>0</v>
      </c>
      <c r="P41" s="88">
        <v>0</v>
      </c>
      <c r="Q41" s="89">
        <v>28091.598150000002</v>
      </c>
      <c r="R41" s="87">
        <v>28166.9516</v>
      </c>
      <c r="S41" s="48">
        <f t="shared" si="1"/>
        <v>0.13210080181927988</v>
      </c>
    </row>
    <row r="42" spans="1:19" ht="30" x14ac:dyDescent="0.25">
      <c r="A42" s="37">
        <v>35</v>
      </c>
      <c r="B42" s="32" t="s">
        <v>158</v>
      </c>
      <c r="C42" s="47"/>
      <c r="D42" s="81">
        <v>20261.37</v>
      </c>
      <c r="E42" s="82">
        <v>20247.588749999999</v>
      </c>
      <c r="F42" s="85">
        <v>0</v>
      </c>
      <c r="G42" s="85">
        <v>0</v>
      </c>
      <c r="H42" s="81">
        <v>2999.4218700000001</v>
      </c>
      <c r="I42" s="81">
        <v>2999.4218700000001</v>
      </c>
      <c r="J42" s="78">
        <v>560.13315999999998</v>
      </c>
      <c r="K42" s="92">
        <v>624.29782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9">
        <v>23820.925029999999</v>
      </c>
      <c r="R42" s="87">
        <v>23871.308440000001</v>
      </c>
      <c r="S42" s="48">
        <f t="shared" si="1"/>
        <v>2.351433285208572E-2</v>
      </c>
    </row>
    <row r="43" spans="1:19" ht="30" x14ac:dyDescent="0.25">
      <c r="A43" s="37">
        <v>36</v>
      </c>
      <c r="B43" s="32" t="s">
        <v>159</v>
      </c>
      <c r="C43" s="47"/>
      <c r="D43" s="81">
        <v>16182.351199999999</v>
      </c>
      <c r="E43" s="82">
        <v>16484.339120000001</v>
      </c>
      <c r="F43" s="85">
        <v>0</v>
      </c>
      <c r="G43" s="85">
        <v>0</v>
      </c>
      <c r="H43" s="81">
        <v>2472.78962</v>
      </c>
      <c r="I43" s="81">
        <v>2472.78962</v>
      </c>
      <c r="J43" s="78">
        <v>151.35468</v>
      </c>
      <c r="K43" s="92">
        <v>142.04642000000001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9">
        <v>18806.495500000001</v>
      </c>
      <c r="R43" s="87">
        <v>19099.175159999999</v>
      </c>
      <c r="S43" s="48">
        <f t="shared" si="1"/>
        <v>8.0480002241778634E-3</v>
      </c>
    </row>
    <row r="44" spans="1:19" ht="30" x14ac:dyDescent="0.25">
      <c r="A44" s="37">
        <v>37</v>
      </c>
      <c r="B44" s="32" t="s">
        <v>160</v>
      </c>
      <c r="C44" s="47"/>
      <c r="D44" s="81">
        <v>43513.752610000003</v>
      </c>
      <c r="E44" s="82">
        <v>44882.114350000003</v>
      </c>
      <c r="F44" s="85">
        <v>0</v>
      </c>
      <c r="G44" s="85">
        <v>0</v>
      </c>
      <c r="H44" s="81">
        <v>11824.70426</v>
      </c>
      <c r="I44" s="82">
        <v>12022.23302</v>
      </c>
      <c r="J44" s="78">
        <v>155.77113</v>
      </c>
      <c r="K44" s="92">
        <v>175.13765000000001</v>
      </c>
      <c r="L44" s="88">
        <v>0</v>
      </c>
      <c r="M44" s="88">
        <v>0</v>
      </c>
      <c r="N44" s="88">
        <v>0</v>
      </c>
      <c r="O44" s="90">
        <v>38.808</v>
      </c>
      <c r="P44" s="90">
        <v>38.808</v>
      </c>
      <c r="Q44" s="89">
        <v>55533.036979999997</v>
      </c>
      <c r="R44" s="87">
        <v>57118.294000000002</v>
      </c>
      <c r="S44" s="48">
        <f t="shared" si="1"/>
        <v>3.5038445685957511E-3</v>
      </c>
    </row>
    <row r="45" spans="1:19" ht="30" x14ac:dyDescent="0.25">
      <c r="A45" s="37">
        <v>38</v>
      </c>
      <c r="B45" s="32" t="s">
        <v>161</v>
      </c>
      <c r="C45" s="47"/>
      <c r="D45" s="81">
        <v>16426.530549999999</v>
      </c>
      <c r="E45" s="82">
        <v>15947.97237</v>
      </c>
      <c r="F45" s="85">
        <v>0</v>
      </c>
      <c r="G45" s="85">
        <v>0</v>
      </c>
      <c r="H45" s="81">
        <v>2962.4968100000001</v>
      </c>
      <c r="I45" s="81">
        <v>2962.4968100000001</v>
      </c>
      <c r="J45" s="91">
        <v>0</v>
      </c>
      <c r="K45" s="92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9">
        <v>19389.02736</v>
      </c>
      <c r="R45" s="87">
        <v>18910.46918</v>
      </c>
      <c r="S45" s="48">
        <f t="shared" si="1"/>
        <v>0</v>
      </c>
    </row>
    <row r="46" spans="1:19" ht="30" x14ac:dyDescent="0.25">
      <c r="A46" s="37">
        <v>39</v>
      </c>
      <c r="B46" s="32" t="s">
        <v>162</v>
      </c>
      <c r="C46" s="47"/>
      <c r="D46" s="81">
        <v>45721.739000000001</v>
      </c>
      <c r="E46" s="82">
        <v>46747.200490000003</v>
      </c>
      <c r="F46" s="85">
        <v>0</v>
      </c>
      <c r="G46" s="85">
        <v>0</v>
      </c>
      <c r="H46" s="81">
        <v>7651.85473</v>
      </c>
      <c r="I46" s="81">
        <v>7651.85473</v>
      </c>
      <c r="J46" s="78">
        <v>202.0103</v>
      </c>
      <c r="K46" s="92">
        <v>210.78514000000001</v>
      </c>
      <c r="L46" s="88">
        <v>0</v>
      </c>
      <c r="M46" s="88">
        <v>0</v>
      </c>
      <c r="N46" s="88">
        <v>0</v>
      </c>
      <c r="O46" s="90">
        <v>32.6</v>
      </c>
      <c r="P46" s="90">
        <v>32.6</v>
      </c>
      <c r="Q46" s="89">
        <v>53608.204660000003</v>
      </c>
      <c r="R46" s="87">
        <v>54642.440990000003</v>
      </c>
      <c r="S46" s="48">
        <f t="shared" si="1"/>
        <v>4.3763879333018497E-3</v>
      </c>
    </row>
    <row r="47" spans="1:19" ht="30" x14ac:dyDescent="0.25">
      <c r="A47" s="37">
        <v>40</v>
      </c>
      <c r="B47" s="32" t="s">
        <v>163</v>
      </c>
      <c r="C47" s="47"/>
      <c r="D47" s="81">
        <v>50421.334999999999</v>
      </c>
      <c r="E47" s="82">
        <v>51677.239529999999</v>
      </c>
      <c r="F47" s="85">
        <v>0</v>
      </c>
      <c r="G47" s="85">
        <v>0</v>
      </c>
      <c r="H47" s="81">
        <v>9601.9070100000008</v>
      </c>
      <c r="I47" s="82">
        <v>9620.3092099999994</v>
      </c>
      <c r="J47" s="91">
        <v>0</v>
      </c>
      <c r="K47" s="92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9">
        <v>60023.242010000002</v>
      </c>
      <c r="R47" s="87">
        <v>61297.548739999998</v>
      </c>
      <c r="S47" s="48">
        <f t="shared" si="1"/>
        <v>0</v>
      </c>
    </row>
    <row r="48" spans="1:19" ht="30" x14ac:dyDescent="0.25">
      <c r="A48" s="37">
        <v>41</v>
      </c>
      <c r="B48" s="32" t="s">
        <v>164</v>
      </c>
      <c r="C48" s="47"/>
      <c r="D48" s="81">
        <v>39367.261250000003</v>
      </c>
      <c r="E48" s="82">
        <v>39376.604720000003</v>
      </c>
      <c r="F48" s="85">
        <v>0</v>
      </c>
      <c r="G48" s="85">
        <v>0</v>
      </c>
      <c r="H48" s="81">
        <v>22590.191019999998</v>
      </c>
      <c r="I48" s="81">
        <v>22590.191019999998</v>
      </c>
      <c r="J48" s="91">
        <v>0</v>
      </c>
      <c r="K48" s="92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9">
        <v>61957.452270000002</v>
      </c>
      <c r="R48" s="87">
        <v>61966.795740000001</v>
      </c>
      <c r="S48" s="48">
        <f t="shared" si="1"/>
        <v>0</v>
      </c>
    </row>
    <row r="49" spans="1:19" ht="30" x14ac:dyDescent="0.25">
      <c r="A49" s="37">
        <v>42</v>
      </c>
      <c r="B49" s="32" t="s">
        <v>165</v>
      </c>
      <c r="C49" s="47"/>
      <c r="D49" s="81">
        <v>23068.825809999998</v>
      </c>
      <c r="E49" s="82">
        <v>23057.640579999999</v>
      </c>
      <c r="F49" s="85">
        <v>0</v>
      </c>
      <c r="G49" s="85">
        <v>0</v>
      </c>
      <c r="H49" s="81">
        <v>3408.2668899999999</v>
      </c>
      <c r="I49" s="81">
        <v>3408.2668899999999</v>
      </c>
      <c r="J49" s="78">
        <v>555.94611999999995</v>
      </c>
      <c r="K49" s="92">
        <v>539.60374999999999</v>
      </c>
      <c r="L49" s="88">
        <v>0</v>
      </c>
      <c r="M49" s="88">
        <v>0</v>
      </c>
      <c r="N49" s="88">
        <v>0</v>
      </c>
      <c r="O49" s="90">
        <v>10</v>
      </c>
      <c r="P49" s="90">
        <v>10</v>
      </c>
      <c r="Q49" s="89">
        <v>27043.038820000002</v>
      </c>
      <c r="R49" s="87">
        <v>27015.51122</v>
      </c>
      <c r="S49" s="48">
        <f t="shared" si="1"/>
        <v>2.0927608164414118E-2</v>
      </c>
    </row>
    <row r="50" spans="1:19" ht="15.75" x14ac:dyDescent="0.25">
      <c r="A50" s="37">
        <v>43</v>
      </c>
      <c r="B50" s="32" t="s">
        <v>166</v>
      </c>
      <c r="C50" s="47"/>
      <c r="D50" s="81">
        <v>28074.324990000001</v>
      </c>
      <c r="E50" s="82">
        <v>28223.037550000001</v>
      </c>
      <c r="F50" s="85">
        <v>0</v>
      </c>
      <c r="G50" s="85">
        <v>0</v>
      </c>
      <c r="H50" s="81">
        <v>3722.0316400000002</v>
      </c>
      <c r="I50" s="81">
        <v>3722.0316400000002</v>
      </c>
      <c r="J50" s="78">
        <v>478.28174999999999</v>
      </c>
      <c r="K50" s="92">
        <v>479.13900000000001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9">
        <v>32274.63838</v>
      </c>
      <c r="R50" s="87">
        <v>32424.208190000001</v>
      </c>
      <c r="S50" s="48">
        <f t="shared" si="1"/>
        <v>1.4819120337422042E-2</v>
      </c>
    </row>
    <row r="51" spans="1:19" ht="30" x14ac:dyDescent="0.25">
      <c r="A51" s="37">
        <v>44</v>
      </c>
      <c r="B51" s="32" t="s">
        <v>167</v>
      </c>
      <c r="C51" s="47"/>
      <c r="D51" s="81">
        <v>12249.896000000001</v>
      </c>
      <c r="E51" s="82">
        <v>11848.662060000001</v>
      </c>
      <c r="F51" s="85">
        <v>0</v>
      </c>
      <c r="G51" s="85">
        <v>0</v>
      </c>
      <c r="H51" s="81">
        <v>2868.41219</v>
      </c>
      <c r="I51" s="81">
        <v>2868.41219</v>
      </c>
      <c r="J51" s="78">
        <v>120.715</v>
      </c>
      <c r="K51" s="92">
        <v>136.62216000000001</v>
      </c>
      <c r="L51" s="88">
        <v>0</v>
      </c>
      <c r="M51" s="88">
        <v>0</v>
      </c>
      <c r="N51" s="88">
        <v>0</v>
      </c>
      <c r="O51" s="90">
        <v>40</v>
      </c>
      <c r="P51" s="90">
        <v>40</v>
      </c>
      <c r="Q51" s="89">
        <v>15279.02319</v>
      </c>
      <c r="R51" s="87">
        <v>14893.69641</v>
      </c>
      <c r="S51" s="48">
        <f t="shared" si="1"/>
        <v>1.0518669812948953E-2</v>
      </c>
    </row>
    <row r="52" spans="1:19" ht="30" x14ac:dyDescent="0.25">
      <c r="A52" s="37">
        <v>45</v>
      </c>
      <c r="B52" s="32" t="s">
        <v>168</v>
      </c>
      <c r="C52" s="47"/>
      <c r="D52" s="81">
        <v>20285.755000000001</v>
      </c>
      <c r="E52" s="82">
        <v>19648.461650000001</v>
      </c>
      <c r="F52" s="85">
        <v>0</v>
      </c>
      <c r="G52" s="85">
        <v>0</v>
      </c>
      <c r="H52" s="81">
        <v>3320.2912000000001</v>
      </c>
      <c r="I52" s="81">
        <v>3320.2912000000001</v>
      </c>
      <c r="J52" s="78">
        <v>419.51400000000001</v>
      </c>
      <c r="K52" s="92">
        <v>467.94963999999999</v>
      </c>
      <c r="L52" s="88">
        <v>0</v>
      </c>
      <c r="M52" s="88">
        <v>0</v>
      </c>
      <c r="N52" s="88">
        <v>0</v>
      </c>
      <c r="O52" s="90">
        <v>39</v>
      </c>
      <c r="P52" s="90">
        <v>39</v>
      </c>
      <c r="Q52" s="89">
        <v>24064.5602</v>
      </c>
      <c r="R52" s="87">
        <v>23475.70249</v>
      </c>
      <c r="S52" s="48">
        <f t="shared" si="1"/>
        <v>1.9053495937149934E-2</v>
      </c>
    </row>
    <row r="53" spans="1:19" ht="30" x14ac:dyDescent="0.25">
      <c r="A53" s="37">
        <v>46</v>
      </c>
      <c r="B53" s="32" t="s">
        <v>169</v>
      </c>
      <c r="C53" s="47"/>
      <c r="D53" s="81">
        <v>27084.092850000001</v>
      </c>
      <c r="E53" s="82">
        <v>25769.330559999999</v>
      </c>
      <c r="F53" s="85">
        <v>0</v>
      </c>
      <c r="G53" s="85">
        <v>0</v>
      </c>
      <c r="H53" s="81">
        <v>11087.34535</v>
      </c>
      <c r="I53" s="81">
        <v>11087.34535</v>
      </c>
      <c r="J53" s="91">
        <v>0</v>
      </c>
      <c r="K53" s="92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9">
        <v>38171.438199999997</v>
      </c>
      <c r="R53" s="87">
        <v>36856.675909999998</v>
      </c>
      <c r="S53" s="48">
        <f t="shared" si="1"/>
        <v>0</v>
      </c>
    </row>
    <row r="54" spans="1:19" ht="30" x14ac:dyDescent="0.25">
      <c r="A54" s="37">
        <v>47</v>
      </c>
      <c r="B54" s="32" t="s">
        <v>170</v>
      </c>
      <c r="C54" s="47"/>
      <c r="D54" s="81">
        <v>20526.241999999998</v>
      </c>
      <c r="E54" s="82">
        <v>21134.869650000001</v>
      </c>
      <c r="F54" s="85">
        <v>0</v>
      </c>
      <c r="G54" s="85">
        <v>0</v>
      </c>
      <c r="H54" s="81">
        <v>4399.3888500000003</v>
      </c>
      <c r="I54" s="81">
        <v>4399.3888500000003</v>
      </c>
      <c r="J54" s="91">
        <v>0</v>
      </c>
      <c r="K54" s="92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9">
        <v>24925.630850000001</v>
      </c>
      <c r="R54" s="87">
        <v>25534.2585</v>
      </c>
      <c r="S54" s="48">
        <f t="shared" ref="S54:S77" si="2">(J54+L54+O54)/Q54</f>
        <v>0</v>
      </c>
    </row>
    <row r="55" spans="1:19" ht="30" x14ac:dyDescent="0.25">
      <c r="A55" s="37">
        <v>48</v>
      </c>
      <c r="B55" s="32" t="s">
        <v>171</v>
      </c>
      <c r="C55" s="47"/>
      <c r="D55" s="81">
        <v>47046.026259999999</v>
      </c>
      <c r="E55" s="82">
        <v>46913.927100000001</v>
      </c>
      <c r="F55" s="85">
        <v>0</v>
      </c>
      <c r="G55" s="85">
        <v>0</v>
      </c>
      <c r="H55" s="81">
        <v>1108.675</v>
      </c>
      <c r="I55" s="81">
        <v>1108.675</v>
      </c>
      <c r="J55" s="78">
        <v>6650.53568</v>
      </c>
      <c r="K55" s="92">
        <v>6205.7421599999998</v>
      </c>
      <c r="L55" s="88">
        <v>0</v>
      </c>
      <c r="M55" s="88">
        <v>0</v>
      </c>
      <c r="N55" s="88">
        <v>0</v>
      </c>
      <c r="O55" s="90">
        <v>4.1522300000000003</v>
      </c>
      <c r="P55" s="90">
        <v>4.1522300000000003</v>
      </c>
      <c r="Q55" s="89">
        <v>54809.389170000002</v>
      </c>
      <c r="R55" s="87">
        <v>54232.496489999998</v>
      </c>
      <c r="S55" s="48">
        <f t="shared" si="2"/>
        <v>0.12141510808229282</v>
      </c>
    </row>
    <row r="56" spans="1:19" ht="30" x14ac:dyDescent="0.25">
      <c r="A56" s="37">
        <v>49</v>
      </c>
      <c r="B56" s="32" t="s">
        <v>172</v>
      </c>
      <c r="C56" s="11"/>
      <c r="D56" s="81">
        <v>17504.467720000001</v>
      </c>
      <c r="E56" s="82">
        <v>16886.064419999999</v>
      </c>
      <c r="F56" s="85">
        <v>0</v>
      </c>
      <c r="G56" s="85">
        <v>0</v>
      </c>
      <c r="H56" s="81">
        <v>2335.39437</v>
      </c>
      <c r="I56" s="81">
        <v>2335.39437</v>
      </c>
      <c r="J56" s="78">
        <v>305.02742999999998</v>
      </c>
      <c r="K56" s="92">
        <v>297.89557000000002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9">
        <v>20144.889520000001</v>
      </c>
      <c r="R56" s="87">
        <v>19519.354360000001</v>
      </c>
      <c r="S56" s="48">
        <f t="shared" si="2"/>
        <v>1.5141677977293766E-2</v>
      </c>
    </row>
    <row r="57" spans="1:19" ht="29.25" customHeight="1" x14ac:dyDescent="0.25">
      <c r="A57" s="37">
        <v>50</v>
      </c>
      <c r="B57" s="32" t="s">
        <v>173</v>
      </c>
      <c r="C57" s="11"/>
      <c r="D57" s="81">
        <v>19556.499309999999</v>
      </c>
      <c r="E57" s="82">
        <v>19339.73271</v>
      </c>
      <c r="F57" s="85">
        <v>0</v>
      </c>
      <c r="G57" s="85">
        <v>0</v>
      </c>
      <c r="H57" s="81">
        <v>4563.1811399999997</v>
      </c>
      <c r="I57" s="81">
        <v>4563.1811399999997</v>
      </c>
      <c r="J57" s="78">
        <v>48.451500000000003</v>
      </c>
      <c r="K57" s="92">
        <v>49.118979999999901</v>
      </c>
      <c r="L57" s="90">
        <v>15993.6</v>
      </c>
      <c r="M57" s="90">
        <v>15993.6</v>
      </c>
      <c r="N57" s="88">
        <v>15993.6</v>
      </c>
      <c r="O57" s="90">
        <v>174</v>
      </c>
      <c r="P57" s="90">
        <v>174</v>
      </c>
      <c r="Q57" s="89">
        <v>24358.125550000001</v>
      </c>
      <c r="R57" s="87">
        <v>24142.026430000002</v>
      </c>
      <c r="S57" s="48">
        <f t="shared" si="2"/>
        <v>0.66573478598397318</v>
      </c>
    </row>
    <row r="58" spans="1:19" ht="30" customHeight="1" x14ac:dyDescent="0.25">
      <c r="A58" s="37">
        <v>51</v>
      </c>
      <c r="B58" s="32" t="s">
        <v>174</v>
      </c>
      <c r="C58" s="11"/>
      <c r="D58" s="81">
        <v>13466.331389999999</v>
      </c>
      <c r="E58" s="82">
        <v>13193.160029999999</v>
      </c>
      <c r="F58" s="85">
        <v>0</v>
      </c>
      <c r="G58" s="85">
        <v>0</v>
      </c>
      <c r="H58" s="81">
        <v>1998.01018</v>
      </c>
      <c r="I58" s="81">
        <v>1998.01018</v>
      </c>
      <c r="J58" s="78">
        <v>160.982</v>
      </c>
      <c r="K58" s="92">
        <v>182.47832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9">
        <v>15625.32357</v>
      </c>
      <c r="R58" s="87">
        <v>15373.64853</v>
      </c>
      <c r="S58" s="48">
        <f t="shared" si="2"/>
        <v>1.0302634648096443E-2</v>
      </c>
    </row>
    <row r="59" spans="1:19" ht="25.5" customHeight="1" x14ac:dyDescent="0.25">
      <c r="A59" s="37">
        <v>52</v>
      </c>
      <c r="B59" s="32" t="s">
        <v>175</v>
      </c>
      <c r="C59" s="11"/>
      <c r="D59" s="81">
        <v>16478.968809999998</v>
      </c>
      <c r="E59" s="82">
        <v>16495.155210000001</v>
      </c>
      <c r="F59" s="85">
        <v>0</v>
      </c>
      <c r="G59" s="85">
        <v>0</v>
      </c>
      <c r="H59" s="81">
        <v>2366.3829700000001</v>
      </c>
      <c r="I59" s="81">
        <v>2366.3829700000001</v>
      </c>
      <c r="J59" s="78">
        <v>317.58600000000001</v>
      </c>
      <c r="K59" s="92">
        <v>389.59674000000001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9">
        <v>19162.93778</v>
      </c>
      <c r="R59" s="87">
        <v>19251.13492</v>
      </c>
      <c r="S59" s="48">
        <f t="shared" si="2"/>
        <v>1.6572928621177208E-2</v>
      </c>
    </row>
    <row r="60" spans="1:19" ht="27" customHeight="1" x14ac:dyDescent="0.25">
      <c r="A60" s="37">
        <v>53</v>
      </c>
      <c r="B60" s="32" t="s">
        <v>176</v>
      </c>
      <c r="C60" s="11"/>
      <c r="D60" s="81">
        <v>22126.2</v>
      </c>
      <c r="E60" s="82">
        <v>22198.602709999999</v>
      </c>
      <c r="F60" s="85">
        <v>0</v>
      </c>
      <c r="G60" s="85">
        <v>0</v>
      </c>
      <c r="H60" s="81">
        <v>5327.6801299999997</v>
      </c>
      <c r="I60" s="81">
        <v>5327.6801299999997</v>
      </c>
      <c r="J60" s="78">
        <v>132.49011999999999</v>
      </c>
      <c r="K60" s="92">
        <v>107.52869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9">
        <v>27586.37025</v>
      </c>
      <c r="R60" s="87">
        <v>27633.811529999999</v>
      </c>
      <c r="S60" s="48">
        <f t="shared" si="2"/>
        <v>4.8027384102843317E-3</v>
      </c>
    </row>
    <row r="61" spans="1:19" ht="27" customHeight="1" x14ac:dyDescent="0.25">
      <c r="A61" s="37">
        <v>54</v>
      </c>
      <c r="B61" s="32" t="s">
        <v>177</v>
      </c>
      <c r="C61" s="11"/>
      <c r="D61" s="81">
        <v>17894.686880000001</v>
      </c>
      <c r="E61" s="82">
        <v>17451.24079</v>
      </c>
      <c r="F61" s="85">
        <v>0</v>
      </c>
      <c r="G61" s="85">
        <v>0</v>
      </c>
      <c r="H61" s="81">
        <v>3544.7705599999999</v>
      </c>
      <c r="I61" s="82">
        <v>3571.6400600000002</v>
      </c>
      <c r="J61" s="78">
        <v>266.41153000000003</v>
      </c>
      <c r="K61" s="92">
        <v>300.392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9">
        <v>21705.86897</v>
      </c>
      <c r="R61" s="87">
        <v>21323.272850000001</v>
      </c>
      <c r="S61" s="48">
        <f t="shared" si="2"/>
        <v>1.2273709491576279E-2</v>
      </c>
    </row>
    <row r="62" spans="1:19" ht="29.25" customHeight="1" x14ac:dyDescent="0.25">
      <c r="A62" s="37">
        <v>55</v>
      </c>
      <c r="B62" s="32" t="s">
        <v>178</v>
      </c>
      <c r="C62" s="11"/>
      <c r="D62" s="81">
        <v>33424.847999999998</v>
      </c>
      <c r="E62" s="82">
        <v>33421.949050000003</v>
      </c>
      <c r="F62" s="85">
        <v>0</v>
      </c>
      <c r="G62" s="85">
        <v>0</v>
      </c>
      <c r="H62" s="81">
        <v>4548.9319500000001</v>
      </c>
      <c r="I62" s="81">
        <v>4548.9319500000001</v>
      </c>
      <c r="J62" s="78">
        <v>1000.10186</v>
      </c>
      <c r="K62" s="92">
        <v>1189.39157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9">
        <v>38973.881809999999</v>
      </c>
      <c r="R62" s="87">
        <v>39160.272570000001</v>
      </c>
      <c r="S62" s="48">
        <f t="shared" si="2"/>
        <v>2.5660822416292948E-2</v>
      </c>
    </row>
    <row r="63" spans="1:19" ht="28.5" customHeight="1" x14ac:dyDescent="0.25">
      <c r="A63" s="37">
        <v>56</v>
      </c>
      <c r="B63" s="32" t="s">
        <v>179</v>
      </c>
      <c r="C63" s="11"/>
      <c r="D63" s="81">
        <v>23626.991999999998</v>
      </c>
      <c r="E63" s="82">
        <v>23673.651099999999</v>
      </c>
      <c r="F63" s="85">
        <v>0</v>
      </c>
      <c r="G63" s="85">
        <v>0</v>
      </c>
      <c r="H63" s="81">
        <v>4422.5649899999999</v>
      </c>
      <c r="I63" s="81">
        <v>4422.5649899999999</v>
      </c>
      <c r="J63" s="91">
        <v>0</v>
      </c>
      <c r="K63" s="92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9">
        <v>28049.556990000001</v>
      </c>
      <c r="R63" s="87">
        <v>28096.216090000002</v>
      </c>
      <c r="S63" s="48">
        <f t="shared" si="2"/>
        <v>0</v>
      </c>
    </row>
    <row r="64" spans="1:19" ht="26.25" customHeight="1" x14ac:dyDescent="0.25">
      <c r="A64" s="37">
        <v>57</v>
      </c>
      <c r="B64" s="32" t="s">
        <v>180</v>
      </c>
      <c r="C64" s="11"/>
      <c r="D64" s="81">
        <v>28968.922999999999</v>
      </c>
      <c r="E64" s="82">
        <v>28947.574980000001</v>
      </c>
      <c r="F64" s="85">
        <v>0</v>
      </c>
      <c r="G64" s="85">
        <v>0</v>
      </c>
      <c r="H64" s="81">
        <v>32756.783609999999</v>
      </c>
      <c r="I64" s="82">
        <v>32764.344799999999</v>
      </c>
      <c r="J64" s="78">
        <v>16.774999999999999</v>
      </c>
      <c r="K64" s="92">
        <v>16.774999999999999</v>
      </c>
      <c r="L64" s="88">
        <v>0</v>
      </c>
      <c r="M64" s="88">
        <v>0</v>
      </c>
      <c r="N64" s="88">
        <v>0</v>
      </c>
      <c r="O64" s="90">
        <v>617.84299999999996</v>
      </c>
      <c r="P64" s="90">
        <v>617.84299999999996</v>
      </c>
      <c r="Q64" s="89">
        <v>62360.325420000001</v>
      </c>
      <c r="R64" s="87">
        <v>62346.538589999996</v>
      </c>
      <c r="S64" s="48">
        <f t="shared" si="2"/>
        <v>1.0176630665825026E-2</v>
      </c>
    </row>
    <row r="65" spans="1:20" ht="26.25" customHeight="1" x14ac:dyDescent="0.25">
      <c r="A65" s="37">
        <v>58</v>
      </c>
      <c r="B65" s="32" t="s">
        <v>181</v>
      </c>
      <c r="C65" s="11"/>
      <c r="D65" s="81">
        <v>26103.49005</v>
      </c>
      <c r="E65" s="82">
        <v>26129.894789999998</v>
      </c>
      <c r="F65" s="85">
        <v>0</v>
      </c>
      <c r="G65" s="85">
        <v>0</v>
      </c>
      <c r="H65" s="81">
        <v>4085.3197</v>
      </c>
      <c r="I65" s="82">
        <v>4081.6197000000002</v>
      </c>
      <c r="J65" s="78">
        <v>561.64275999999995</v>
      </c>
      <c r="K65" s="92">
        <v>568.64939000000004</v>
      </c>
      <c r="L65" s="88">
        <v>0</v>
      </c>
      <c r="M65" s="88">
        <v>0</v>
      </c>
      <c r="N65" s="88">
        <v>0</v>
      </c>
      <c r="O65" s="90">
        <v>300</v>
      </c>
      <c r="P65" s="90">
        <v>300</v>
      </c>
      <c r="Q65" s="89">
        <v>31050.452509999999</v>
      </c>
      <c r="R65" s="87">
        <v>31080.16388</v>
      </c>
      <c r="S65" s="48">
        <f t="shared" si="2"/>
        <v>2.7749764990461969E-2</v>
      </c>
    </row>
    <row r="66" spans="1:20" ht="28.5" customHeight="1" x14ac:dyDescent="0.25">
      <c r="A66" s="37">
        <v>59</v>
      </c>
      <c r="B66" s="32" t="s">
        <v>182</v>
      </c>
      <c r="C66" s="11"/>
      <c r="D66" s="81">
        <v>22560.593990000001</v>
      </c>
      <c r="E66" s="82">
        <v>22214.975399999999</v>
      </c>
      <c r="F66" s="85">
        <v>0</v>
      </c>
      <c r="G66" s="85">
        <v>0</v>
      </c>
      <c r="H66" s="81">
        <v>4892.8972400000002</v>
      </c>
      <c r="I66" s="82">
        <v>4892.8972400000002</v>
      </c>
      <c r="J66" s="78">
        <v>303.13900000000001</v>
      </c>
      <c r="K66" s="92">
        <v>280.06858</v>
      </c>
      <c r="L66" s="88">
        <v>0</v>
      </c>
      <c r="M66" s="88">
        <v>0</v>
      </c>
      <c r="N66" s="88">
        <v>0</v>
      </c>
      <c r="O66" s="90">
        <v>2.9249999999999998</v>
      </c>
      <c r="P66" s="90">
        <v>2.9249999999999998</v>
      </c>
      <c r="Q66" s="89">
        <v>27759.555230000002</v>
      </c>
      <c r="R66" s="87">
        <v>27390.8662</v>
      </c>
      <c r="S66" s="48">
        <f t="shared" si="2"/>
        <v>1.10255368814135E-2</v>
      </c>
    </row>
    <row r="67" spans="1:20" ht="27.75" customHeight="1" x14ac:dyDescent="0.25">
      <c r="A67" s="37">
        <v>60</v>
      </c>
      <c r="B67" s="32" t="s">
        <v>183</v>
      </c>
      <c r="C67" s="11"/>
      <c r="D67" s="81">
        <v>13540.841640000001</v>
      </c>
      <c r="E67" s="82">
        <v>13509.940640000001</v>
      </c>
      <c r="F67" s="85">
        <v>0</v>
      </c>
      <c r="G67" s="85">
        <v>0</v>
      </c>
      <c r="H67" s="81">
        <v>2659.1629699999999</v>
      </c>
      <c r="I67" s="82">
        <v>2659.1629699999999</v>
      </c>
      <c r="J67" s="78">
        <v>125.404</v>
      </c>
      <c r="K67" s="92">
        <v>148.02485999999999</v>
      </c>
      <c r="L67" s="88">
        <v>0</v>
      </c>
      <c r="M67" s="88">
        <v>0</v>
      </c>
      <c r="N67" s="88">
        <v>0</v>
      </c>
      <c r="O67" s="90">
        <v>0</v>
      </c>
      <c r="P67" s="90">
        <v>0</v>
      </c>
      <c r="Q67" s="89">
        <v>16325.40861</v>
      </c>
      <c r="R67" s="87">
        <v>16317.12847</v>
      </c>
      <c r="S67" s="48">
        <f t="shared" si="2"/>
        <v>7.6815228945133268E-3</v>
      </c>
    </row>
    <row r="68" spans="1:20" ht="27" customHeight="1" x14ac:dyDescent="0.25">
      <c r="A68" s="37">
        <v>61</v>
      </c>
      <c r="B68" s="32" t="s">
        <v>184</v>
      </c>
      <c r="C68" s="11"/>
      <c r="D68" s="81">
        <v>16116.289000000001</v>
      </c>
      <c r="E68" s="82">
        <v>16041.946980000001</v>
      </c>
      <c r="F68" s="85">
        <v>0</v>
      </c>
      <c r="G68" s="85">
        <v>0</v>
      </c>
      <c r="H68" s="81">
        <v>3679.20903</v>
      </c>
      <c r="I68" s="82">
        <v>3679.20903</v>
      </c>
      <c r="J68" s="91">
        <v>0</v>
      </c>
      <c r="K68" s="92">
        <v>52.746690000000001</v>
      </c>
      <c r="L68" s="88">
        <v>0</v>
      </c>
      <c r="M68" s="88">
        <v>0</v>
      </c>
      <c r="N68" s="88">
        <v>0</v>
      </c>
      <c r="O68" s="90">
        <v>0.65700000000000003</v>
      </c>
      <c r="P68" s="90">
        <v>0.65700000000000003</v>
      </c>
      <c r="Q68" s="89">
        <v>19796.155030000002</v>
      </c>
      <c r="R68" s="87">
        <v>19774.559700000002</v>
      </c>
      <c r="S68" s="48">
        <f t="shared" si="2"/>
        <v>3.3188263024024213E-5</v>
      </c>
    </row>
    <row r="69" spans="1:20" ht="27" customHeight="1" x14ac:dyDescent="0.25">
      <c r="A69" s="37">
        <v>62</v>
      </c>
      <c r="B69" s="32" t="s">
        <v>185</v>
      </c>
      <c r="C69" s="11"/>
      <c r="D69" s="81">
        <v>7041.598</v>
      </c>
      <c r="E69" s="82">
        <v>7021.3609500000002</v>
      </c>
      <c r="F69" s="85">
        <v>0</v>
      </c>
      <c r="G69" s="85">
        <v>0</v>
      </c>
      <c r="H69" s="81">
        <v>2233.1322</v>
      </c>
      <c r="I69" s="82">
        <v>2233.1322</v>
      </c>
      <c r="J69" s="78">
        <v>916.59468000000004</v>
      </c>
      <c r="K69" s="92">
        <v>715.50639999999999</v>
      </c>
      <c r="L69" s="88">
        <v>0</v>
      </c>
      <c r="M69" s="88">
        <v>0</v>
      </c>
      <c r="N69" s="88">
        <v>0</v>
      </c>
      <c r="O69" s="88">
        <v>0</v>
      </c>
      <c r="P69" s="88">
        <v>0</v>
      </c>
      <c r="Q69" s="89">
        <v>10191.32488</v>
      </c>
      <c r="R69" s="87">
        <v>9969.9995500000005</v>
      </c>
      <c r="S69" s="48">
        <f t="shared" si="2"/>
        <v>8.9938716584217065E-2</v>
      </c>
    </row>
    <row r="70" spans="1:20" ht="24" customHeight="1" x14ac:dyDescent="0.25">
      <c r="A70" s="37">
        <v>63</v>
      </c>
      <c r="B70" s="32" t="s">
        <v>186</v>
      </c>
      <c r="C70" s="11"/>
      <c r="D70" s="81">
        <v>5504.5430900000001</v>
      </c>
      <c r="E70" s="82">
        <v>5415.6862199999996</v>
      </c>
      <c r="F70" s="85">
        <v>0</v>
      </c>
      <c r="G70" s="85">
        <v>0</v>
      </c>
      <c r="H70" s="81">
        <v>1936.37754</v>
      </c>
      <c r="I70" s="82">
        <v>1936.37754</v>
      </c>
      <c r="J70" s="78">
        <v>75.335710000000006</v>
      </c>
      <c r="K70" s="93">
        <v>47.119010000000003</v>
      </c>
      <c r="L70" s="88">
        <v>0</v>
      </c>
      <c r="M70" s="88">
        <v>0</v>
      </c>
      <c r="N70" s="88">
        <v>0</v>
      </c>
      <c r="O70" s="90">
        <v>44.904000000000003</v>
      </c>
      <c r="P70" s="90">
        <v>44.904000000000003</v>
      </c>
      <c r="Q70" s="89">
        <v>7561.1603400000004</v>
      </c>
      <c r="R70" s="87">
        <v>7444.0867699999999</v>
      </c>
      <c r="S70" s="48">
        <f t="shared" si="2"/>
        <v>1.5902282796981394E-2</v>
      </c>
    </row>
    <row r="71" spans="1:20" ht="24.75" customHeight="1" x14ac:dyDescent="0.25">
      <c r="A71" s="37">
        <v>64</v>
      </c>
      <c r="B71" s="32" t="s">
        <v>187</v>
      </c>
      <c r="C71" s="11"/>
      <c r="D71" s="81">
        <v>7524.5</v>
      </c>
      <c r="E71" s="82">
        <v>7504.0615900000003</v>
      </c>
      <c r="F71" s="85">
        <v>0</v>
      </c>
      <c r="G71" s="85">
        <v>0</v>
      </c>
      <c r="H71" s="81">
        <v>2266.5821999999998</v>
      </c>
      <c r="I71" s="82">
        <v>2266.5821999999998</v>
      </c>
      <c r="J71" s="78">
        <v>453.06319999999999</v>
      </c>
      <c r="K71" s="92">
        <v>453.06319999999999</v>
      </c>
      <c r="L71" s="88">
        <v>0</v>
      </c>
      <c r="M71" s="88">
        <v>0</v>
      </c>
      <c r="N71" s="88">
        <v>0</v>
      </c>
      <c r="O71" s="88">
        <v>0</v>
      </c>
      <c r="P71" s="88">
        <v>0</v>
      </c>
      <c r="Q71" s="89">
        <v>10244.145399999999</v>
      </c>
      <c r="R71" s="87">
        <v>10223.706990000001</v>
      </c>
      <c r="S71" s="48">
        <f t="shared" si="2"/>
        <v>4.4226549146793644E-2</v>
      </c>
    </row>
    <row r="72" spans="1:20" ht="28.5" customHeight="1" x14ac:dyDescent="0.25">
      <c r="A72" s="37">
        <v>65</v>
      </c>
      <c r="B72" s="32" t="s">
        <v>188</v>
      </c>
      <c r="C72" s="11"/>
      <c r="D72" s="81">
        <v>6080.9</v>
      </c>
      <c r="E72" s="82">
        <v>6075.9240799999998</v>
      </c>
      <c r="F72" s="85">
        <v>0</v>
      </c>
      <c r="G72" s="85">
        <v>0</v>
      </c>
      <c r="H72" s="81">
        <v>1543.2521999999999</v>
      </c>
      <c r="I72" s="82">
        <v>1543.2521999999999</v>
      </c>
      <c r="J72" s="91">
        <v>0</v>
      </c>
      <c r="K72" s="92">
        <v>0</v>
      </c>
      <c r="L72" s="88">
        <v>0</v>
      </c>
      <c r="M72" s="88">
        <v>0</v>
      </c>
      <c r="N72" s="88">
        <v>0</v>
      </c>
      <c r="O72" s="88">
        <v>0</v>
      </c>
      <c r="P72" s="88">
        <v>0</v>
      </c>
      <c r="Q72" s="89">
        <v>7624.1522000000004</v>
      </c>
      <c r="R72" s="87">
        <v>7619.1762799999997</v>
      </c>
      <c r="S72" s="48">
        <f t="shared" si="2"/>
        <v>0</v>
      </c>
    </row>
    <row r="73" spans="1:20" ht="30" customHeight="1" x14ac:dyDescent="0.25">
      <c r="A73" s="37">
        <v>66</v>
      </c>
      <c r="B73" s="32" t="s">
        <v>189</v>
      </c>
      <c r="C73" s="11"/>
      <c r="D73" s="81">
        <v>0</v>
      </c>
      <c r="E73" s="81">
        <v>0</v>
      </c>
      <c r="F73" s="86">
        <v>0</v>
      </c>
      <c r="G73" s="86">
        <v>0</v>
      </c>
      <c r="H73" s="81">
        <v>0</v>
      </c>
      <c r="I73" s="81">
        <v>0</v>
      </c>
      <c r="J73" s="78">
        <v>0</v>
      </c>
      <c r="K73" s="78">
        <v>0</v>
      </c>
      <c r="L73" s="90">
        <v>0</v>
      </c>
      <c r="M73" s="90">
        <v>0</v>
      </c>
      <c r="N73" s="90">
        <v>0</v>
      </c>
      <c r="O73" s="90">
        <v>0</v>
      </c>
      <c r="P73" s="90">
        <v>0</v>
      </c>
      <c r="Q73" s="78">
        <v>0</v>
      </c>
      <c r="R73" s="79">
        <v>0</v>
      </c>
      <c r="S73" s="48">
        <v>0</v>
      </c>
    </row>
    <row r="74" spans="1:20" ht="29.25" customHeight="1" x14ac:dyDescent="0.25">
      <c r="A74" s="37">
        <v>67</v>
      </c>
      <c r="B74" s="32" t="s">
        <v>190</v>
      </c>
      <c r="C74" s="11"/>
      <c r="D74" s="81">
        <v>3766.2143599999999</v>
      </c>
      <c r="E74" s="82">
        <v>3766.2143599999999</v>
      </c>
      <c r="F74" s="85">
        <v>0</v>
      </c>
      <c r="G74" s="85">
        <v>0</v>
      </c>
      <c r="H74" s="81">
        <v>3481.2905099999998</v>
      </c>
      <c r="I74" s="82">
        <v>3481.2905099999998</v>
      </c>
      <c r="J74" s="78">
        <v>89.752809999999997</v>
      </c>
      <c r="K74" s="92">
        <v>214.60955999999999</v>
      </c>
      <c r="L74" s="88">
        <v>0</v>
      </c>
      <c r="M74" s="88">
        <v>0</v>
      </c>
      <c r="N74" s="88">
        <v>0</v>
      </c>
      <c r="O74" s="88">
        <v>0</v>
      </c>
      <c r="P74" s="88">
        <v>0</v>
      </c>
      <c r="Q74" s="89">
        <v>7337.2576799999997</v>
      </c>
      <c r="R74" s="87">
        <v>7462.1144299999996</v>
      </c>
      <c r="S74" s="48">
        <f t="shared" si="2"/>
        <v>1.2232473481836337E-2</v>
      </c>
    </row>
    <row r="75" spans="1:20" ht="25.5" customHeight="1" x14ac:dyDescent="0.25">
      <c r="A75" s="37">
        <v>68</v>
      </c>
      <c r="B75" s="32" t="s">
        <v>191</v>
      </c>
      <c r="C75" s="11"/>
      <c r="D75" s="81">
        <v>2849.1846399999999</v>
      </c>
      <c r="E75" s="82">
        <v>2849.1316099999999</v>
      </c>
      <c r="F75" s="85">
        <v>0</v>
      </c>
      <c r="G75" s="85">
        <v>0</v>
      </c>
      <c r="H75" s="81">
        <v>714.221</v>
      </c>
      <c r="I75" s="82">
        <v>714.221</v>
      </c>
      <c r="J75" s="78">
        <v>231.25651999999999</v>
      </c>
      <c r="K75" s="92">
        <v>231.25651999999999</v>
      </c>
      <c r="L75" s="88">
        <v>0</v>
      </c>
      <c r="M75" s="88">
        <v>0</v>
      </c>
      <c r="N75" s="88">
        <v>0</v>
      </c>
      <c r="O75" s="88">
        <v>0</v>
      </c>
      <c r="P75" s="88">
        <v>0</v>
      </c>
      <c r="Q75" s="89">
        <v>3794.6621599999999</v>
      </c>
      <c r="R75" s="87">
        <v>3794.6091299999998</v>
      </c>
      <c r="S75" s="48">
        <f t="shared" si="2"/>
        <v>6.0942584675311384E-2</v>
      </c>
    </row>
    <row r="76" spans="1:20" ht="29.25" customHeight="1" x14ac:dyDescent="0.25">
      <c r="A76" s="37">
        <v>69</v>
      </c>
      <c r="B76" s="32" t="s">
        <v>192</v>
      </c>
      <c r="C76" s="11"/>
      <c r="D76" s="81">
        <v>7860.7997400000004</v>
      </c>
      <c r="E76" s="82">
        <v>7860.7997400000004</v>
      </c>
      <c r="F76" s="85">
        <v>0</v>
      </c>
      <c r="G76" s="85">
        <v>0</v>
      </c>
      <c r="H76" s="81">
        <v>1855.9541999999999</v>
      </c>
      <c r="I76" s="82">
        <v>1855.9541999999999</v>
      </c>
      <c r="J76" s="78">
        <v>266.94391000000002</v>
      </c>
      <c r="K76" s="92">
        <v>266.94391000000002</v>
      </c>
      <c r="L76" s="88">
        <v>0</v>
      </c>
      <c r="M76" s="88">
        <v>0</v>
      </c>
      <c r="N76" s="88">
        <v>0</v>
      </c>
      <c r="O76" s="88">
        <v>0</v>
      </c>
      <c r="P76" s="88">
        <v>0</v>
      </c>
      <c r="Q76" s="89">
        <v>9983.6978500000005</v>
      </c>
      <c r="R76" s="87">
        <v>9983.6978500000005</v>
      </c>
      <c r="S76" s="48">
        <f t="shared" si="2"/>
        <v>2.6737979655504097E-2</v>
      </c>
    </row>
    <row r="77" spans="1:20" ht="27" customHeight="1" x14ac:dyDescent="0.25">
      <c r="A77" s="37">
        <v>70</v>
      </c>
      <c r="B77" s="32" t="s">
        <v>193</v>
      </c>
      <c r="C77" s="11"/>
      <c r="D77" s="81">
        <v>8472.0508300000001</v>
      </c>
      <c r="E77" s="82">
        <v>8472.0508300000001</v>
      </c>
      <c r="F77" s="85">
        <v>0</v>
      </c>
      <c r="G77" s="85">
        <v>0</v>
      </c>
      <c r="H77" s="81">
        <v>2541.8368</v>
      </c>
      <c r="I77" s="82">
        <v>2541.8368</v>
      </c>
      <c r="J77" s="78">
        <v>391.16773999999998</v>
      </c>
      <c r="K77" s="92">
        <v>391.16773999999998</v>
      </c>
      <c r="L77" s="90">
        <v>0</v>
      </c>
      <c r="M77" s="90">
        <v>0</v>
      </c>
      <c r="N77" s="88">
        <v>0</v>
      </c>
      <c r="O77" s="90">
        <v>110.907</v>
      </c>
      <c r="P77" s="90">
        <v>110.907</v>
      </c>
      <c r="Q77" s="89">
        <v>11515.963320000001</v>
      </c>
      <c r="R77" s="87">
        <v>11515.963320000001</v>
      </c>
      <c r="S77" s="48">
        <f t="shared" si="2"/>
        <v>4.3598153801691679E-2</v>
      </c>
    </row>
    <row r="78" spans="1:20" ht="60" x14ac:dyDescent="0.25">
      <c r="A78" s="37">
        <v>71</v>
      </c>
      <c r="B78" s="32" t="s">
        <v>79</v>
      </c>
      <c r="C78" s="11"/>
      <c r="D78" s="48">
        <v>25264.8704</v>
      </c>
      <c r="E78" s="84">
        <v>25211.960080000001</v>
      </c>
      <c r="F78" s="48">
        <v>0</v>
      </c>
      <c r="G78" s="48">
        <v>0</v>
      </c>
      <c r="H78" s="48">
        <v>11812.28016</v>
      </c>
      <c r="I78" s="48">
        <v>11812.28016</v>
      </c>
      <c r="J78" s="48">
        <v>24.41</v>
      </c>
      <c r="K78" s="48">
        <v>26.377389999999998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37101.560560000005</v>
      </c>
      <c r="R78" s="48">
        <v>37050.617630000001</v>
      </c>
      <c r="S78" s="48">
        <f t="shared" ref="S78:S95" si="3">(J78+L78+O78)/Q78</f>
        <v>6.579238078280984E-4</v>
      </c>
      <c r="T78" s="12"/>
    </row>
    <row r="79" spans="1:20" ht="45" x14ac:dyDescent="0.25">
      <c r="A79" s="37">
        <v>72</v>
      </c>
      <c r="B79" s="32" t="s">
        <v>80</v>
      </c>
      <c r="C79" s="11"/>
      <c r="D79" s="48">
        <v>6624.4306399999996</v>
      </c>
      <c r="E79" s="48">
        <v>6857.5932199999997</v>
      </c>
      <c r="F79" s="48">
        <v>0</v>
      </c>
      <c r="G79" s="48">
        <v>0</v>
      </c>
      <c r="H79" s="48">
        <v>1097.6600000000001</v>
      </c>
      <c r="I79" s="48">
        <v>1097.6600000000001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7722.0906399999994</v>
      </c>
      <c r="R79" s="48">
        <v>7955.2532199999996</v>
      </c>
      <c r="S79" s="48">
        <f t="shared" si="3"/>
        <v>0</v>
      </c>
      <c r="T79" s="12"/>
    </row>
    <row r="80" spans="1:20" ht="45" x14ac:dyDescent="0.25">
      <c r="A80" s="37">
        <v>73</v>
      </c>
      <c r="B80" s="32" t="s">
        <v>81</v>
      </c>
      <c r="C80" s="11"/>
      <c r="D80" s="48">
        <v>2417.4374800000001</v>
      </c>
      <c r="E80" s="48">
        <v>2394.0726</v>
      </c>
      <c r="F80" s="48">
        <v>0</v>
      </c>
      <c r="G80" s="48">
        <v>0</v>
      </c>
      <c r="H80" s="48">
        <v>1209.29817</v>
      </c>
      <c r="I80" s="48">
        <v>1209.29817</v>
      </c>
      <c r="J80" s="48">
        <v>0</v>
      </c>
      <c r="K80" s="48">
        <v>3.5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3626.7356500000001</v>
      </c>
      <c r="R80" s="48">
        <v>3606.87077</v>
      </c>
      <c r="S80" s="48">
        <f t="shared" si="3"/>
        <v>0</v>
      </c>
      <c r="T80" s="12"/>
    </row>
    <row r="81" spans="1:20" ht="45" x14ac:dyDescent="0.25">
      <c r="A81" s="37">
        <v>74</v>
      </c>
      <c r="B81" s="32" t="s">
        <v>82</v>
      </c>
      <c r="C81" s="11"/>
      <c r="D81" s="48">
        <v>2641.4672599999999</v>
      </c>
      <c r="E81" s="48">
        <v>2595.6604499999999</v>
      </c>
      <c r="F81" s="48">
        <v>0</v>
      </c>
      <c r="G81" s="48">
        <v>0</v>
      </c>
      <c r="H81" s="48">
        <v>1227.7295200000001</v>
      </c>
      <c r="I81" s="48">
        <v>1227.7295200000001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3869.1967800000002</v>
      </c>
      <c r="R81" s="48">
        <v>3823.3899700000002</v>
      </c>
      <c r="S81" s="48">
        <f t="shared" si="3"/>
        <v>0</v>
      </c>
      <c r="T81" s="12"/>
    </row>
    <row r="82" spans="1:20" ht="45" x14ac:dyDescent="0.25">
      <c r="A82" s="37">
        <v>75</v>
      </c>
      <c r="B82" s="32" t="s">
        <v>83</v>
      </c>
      <c r="C82" s="11"/>
      <c r="D82" s="48">
        <v>6725.683</v>
      </c>
      <c r="E82" s="48">
        <v>6790.6730799999996</v>
      </c>
      <c r="F82" s="48">
        <v>0</v>
      </c>
      <c r="G82" s="48">
        <v>0</v>
      </c>
      <c r="H82" s="48">
        <v>4160.8734000000004</v>
      </c>
      <c r="I82" s="48">
        <v>4160.8734000000004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10886.556400000001</v>
      </c>
      <c r="R82" s="48">
        <v>10951.546480000001</v>
      </c>
      <c r="S82" s="48">
        <f t="shared" si="3"/>
        <v>0</v>
      </c>
    </row>
    <row r="83" spans="1:20" ht="45" x14ac:dyDescent="0.25">
      <c r="A83" s="37">
        <v>76</v>
      </c>
      <c r="B83" s="32" t="s">
        <v>84</v>
      </c>
      <c r="C83" s="11"/>
      <c r="D83" s="48">
        <v>4933.3</v>
      </c>
      <c r="E83" s="48">
        <v>4901.3573299999998</v>
      </c>
      <c r="F83" s="48">
        <v>0</v>
      </c>
      <c r="G83" s="48">
        <v>0</v>
      </c>
      <c r="H83" s="48">
        <v>2350.8072699999998</v>
      </c>
      <c r="I83" s="48">
        <v>2350.8072699999998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7284.1072700000004</v>
      </c>
      <c r="R83" s="48">
        <v>7252.1646000000001</v>
      </c>
      <c r="S83" s="48">
        <f t="shared" si="3"/>
        <v>0</v>
      </c>
    </row>
    <row r="84" spans="1:20" ht="60" x14ac:dyDescent="0.25">
      <c r="A84" s="37">
        <v>77</v>
      </c>
      <c r="B84" s="32" t="s">
        <v>85</v>
      </c>
      <c r="C84" s="11"/>
      <c r="D84" s="48">
        <v>7321.9</v>
      </c>
      <c r="E84" s="48">
        <v>7805.4810600000001</v>
      </c>
      <c r="F84" s="48">
        <v>0</v>
      </c>
      <c r="G84" s="48">
        <v>0</v>
      </c>
      <c r="H84" s="48">
        <v>3924.5516600000001</v>
      </c>
      <c r="I84" s="48">
        <v>3924.5516600000001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11246.451659999999</v>
      </c>
      <c r="R84" s="48">
        <v>11730.032719999999</v>
      </c>
      <c r="S84" s="48">
        <f t="shared" si="3"/>
        <v>0</v>
      </c>
    </row>
    <row r="85" spans="1:20" ht="45" x14ac:dyDescent="0.25">
      <c r="A85" s="37">
        <v>78</v>
      </c>
      <c r="B85" s="32" t="s">
        <v>94</v>
      </c>
      <c r="C85" s="11"/>
      <c r="D85" s="48">
        <v>3299</v>
      </c>
      <c r="E85" s="48">
        <v>3390.6952299999998</v>
      </c>
      <c r="F85" s="48">
        <v>0</v>
      </c>
      <c r="G85" s="48">
        <v>0</v>
      </c>
      <c r="H85" s="48">
        <v>3667.2894000000001</v>
      </c>
      <c r="I85" s="48">
        <v>3667.2894000000001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6966.2893999999997</v>
      </c>
      <c r="R85" s="48">
        <v>7057.9846299999999</v>
      </c>
      <c r="S85" s="48">
        <f t="shared" si="3"/>
        <v>0</v>
      </c>
    </row>
    <row r="86" spans="1:20" ht="45" x14ac:dyDescent="0.25">
      <c r="A86" s="37">
        <v>79</v>
      </c>
      <c r="B86" s="32" t="s">
        <v>86</v>
      </c>
      <c r="C86" s="11"/>
      <c r="D86" s="48">
        <v>8933.4506099999999</v>
      </c>
      <c r="E86" s="48">
        <v>9337.1272100000006</v>
      </c>
      <c r="F86" s="48">
        <v>0</v>
      </c>
      <c r="G86" s="48">
        <v>0</v>
      </c>
      <c r="H86" s="48">
        <v>6629.1954299999998</v>
      </c>
      <c r="I86" s="48">
        <v>6629.1954299999998</v>
      </c>
      <c r="J86" s="48">
        <v>296.25</v>
      </c>
      <c r="K86" s="48">
        <v>263.44853999999998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15858.89604</v>
      </c>
      <c r="R86" s="48">
        <v>16229.77118</v>
      </c>
      <c r="S86" s="48">
        <f t="shared" si="3"/>
        <v>1.8680367110849666E-2</v>
      </c>
    </row>
    <row r="87" spans="1:20" ht="45" x14ac:dyDescent="0.25">
      <c r="A87" s="37">
        <v>80</v>
      </c>
      <c r="B87" s="32" t="s">
        <v>87</v>
      </c>
      <c r="C87" s="11"/>
      <c r="D87" s="48">
        <v>3950.3</v>
      </c>
      <c r="E87" s="48">
        <v>4190.8864199999998</v>
      </c>
      <c r="F87" s="48">
        <v>0</v>
      </c>
      <c r="G87" s="48">
        <v>0</v>
      </c>
      <c r="H87" s="48">
        <v>2246.7885000000001</v>
      </c>
      <c r="I87" s="48">
        <v>2246.7885000000001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6197.0884999999998</v>
      </c>
      <c r="R87" s="48">
        <v>6437.6749199999995</v>
      </c>
      <c r="S87" s="48">
        <f t="shared" si="3"/>
        <v>0</v>
      </c>
    </row>
    <row r="88" spans="1:20" ht="45" x14ac:dyDescent="0.25">
      <c r="A88" s="37">
        <v>81</v>
      </c>
      <c r="B88" s="32" t="s">
        <v>88</v>
      </c>
      <c r="C88" s="11"/>
      <c r="D88" s="48">
        <v>4527.0200000000004</v>
      </c>
      <c r="E88" s="48">
        <v>4441.7612799999997</v>
      </c>
      <c r="F88" s="48">
        <v>0</v>
      </c>
      <c r="G88" s="48">
        <v>0</v>
      </c>
      <c r="H88" s="48">
        <v>645.59654999999998</v>
      </c>
      <c r="I88" s="48">
        <v>645.59654999999998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5172.6165500000006</v>
      </c>
      <c r="R88" s="48">
        <v>5087.3578299999999</v>
      </c>
      <c r="S88" s="48">
        <f t="shared" si="3"/>
        <v>0</v>
      </c>
    </row>
    <row r="89" spans="1:20" ht="45" x14ac:dyDescent="0.25">
      <c r="A89" s="37">
        <v>82</v>
      </c>
      <c r="B89" s="32" t="s">
        <v>89</v>
      </c>
      <c r="C89" s="11"/>
      <c r="D89" s="48">
        <v>4846</v>
      </c>
      <c r="E89" s="48">
        <v>4845.9999900000003</v>
      </c>
      <c r="F89" s="48">
        <v>0</v>
      </c>
      <c r="G89" s="48">
        <v>0</v>
      </c>
      <c r="H89" s="48">
        <v>3462.85</v>
      </c>
      <c r="I89" s="48">
        <v>3462.85</v>
      </c>
      <c r="J89" s="48">
        <v>17.5</v>
      </c>
      <c r="K89" s="48">
        <v>17.236599999999999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8326.35</v>
      </c>
      <c r="R89" s="48">
        <v>8326.0865900000008</v>
      </c>
      <c r="S89" s="48">
        <f t="shared" si="3"/>
        <v>2.1017612759492454E-3</v>
      </c>
    </row>
    <row r="90" spans="1:20" ht="45" x14ac:dyDescent="0.25">
      <c r="A90" s="37">
        <v>83</v>
      </c>
      <c r="B90" s="32" t="s">
        <v>103</v>
      </c>
      <c r="C90" s="11"/>
      <c r="D90" s="48">
        <v>1699.75864</v>
      </c>
      <c r="E90" s="48">
        <v>1699.2199800000001</v>
      </c>
      <c r="F90" s="48">
        <v>0</v>
      </c>
      <c r="G90" s="48">
        <v>0</v>
      </c>
      <c r="H90" s="48">
        <v>869.37134000000003</v>
      </c>
      <c r="I90" s="48">
        <v>869.37134000000003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2569.1299800000002</v>
      </c>
      <c r="R90" s="48">
        <v>2568.59132</v>
      </c>
      <c r="S90" s="48">
        <f t="shared" si="3"/>
        <v>0</v>
      </c>
    </row>
    <row r="91" spans="1:20" ht="60" x14ac:dyDescent="0.25">
      <c r="A91" s="37">
        <v>84</v>
      </c>
      <c r="B91" s="32" t="s">
        <v>90</v>
      </c>
      <c r="C91" s="11"/>
      <c r="D91" s="48">
        <v>6234.4530000000004</v>
      </c>
      <c r="E91" s="48">
        <v>6151.0404399999998</v>
      </c>
      <c r="F91" s="48">
        <v>0</v>
      </c>
      <c r="G91" s="48">
        <v>0</v>
      </c>
      <c r="H91" s="48">
        <v>1553.33</v>
      </c>
      <c r="I91" s="48">
        <v>1553.33</v>
      </c>
      <c r="J91" s="48">
        <v>654.4</v>
      </c>
      <c r="K91" s="48">
        <v>640.59777999999994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8442.1830000000009</v>
      </c>
      <c r="R91" s="48">
        <v>8344.9682199999988</v>
      </c>
      <c r="S91" s="48">
        <f t="shared" si="3"/>
        <v>7.751549569584075E-2</v>
      </c>
    </row>
    <row r="92" spans="1:20" ht="75" x14ac:dyDescent="0.25">
      <c r="A92" s="37">
        <v>85</v>
      </c>
      <c r="B92" s="32" t="s">
        <v>91</v>
      </c>
      <c r="C92" s="11"/>
      <c r="D92" s="48">
        <v>6975.433</v>
      </c>
      <c r="E92" s="48">
        <v>7345.1022499999999</v>
      </c>
      <c r="F92" s="48">
        <v>0</v>
      </c>
      <c r="G92" s="48">
        <v>0</v>
      </c>
      <c r="H92" s="48">
        <v>1554.65219</v>
      </c>
      <c r="I92" s="48">
        <v>1554.57311</v>
      </c>
      <c r="J92" s="48">
        <v>342.7</v>
      </c>
      <c r="K92" s="48">
        <v>102.5266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8872.7851900000005</v>
      </c>
      <c r="R92" s="48">
        <v>9002.2019599999985</v>
      </c>
      <c r="S92" s="48">
        <f t="shared" si="3"/>
        <v>3.8623723291107873E-2</v>
      </c>
    </row>
    <row r="93" spans="1:20" ht="75" x14ac:dyDescent="0.25">
      <c r="A93" s="37">
        <v>86</v>
      </c>
      <c r="B93" s="32" t="s">
        <v>92</v>
      </c>
      <c r="C93" s="11"/>
      <c r="D93" s="48">
        <v>11416.646000000001</v>
      </c>
      <c r="E93" s="48">
        <v>11468.9732</v>
      </c>
      <c r="F93" s="48">
        <v>0</v>
      </c>
      <c r="G93" s="48">
        <v>0</v>
      </c>
      <c r="H93" s="48">
        <v>2813.337</v>
      </c>
      <c r="I93" s="48">
        <v>2813.337</v>
      </c>
      <c r="J93" s="48">
        <v>270.19911999999999</v>
      </c>
      <c r="K93" s="48">
        <v>129.65232</v>
      </c>
      <c r="L93" s="48">
        <v>32.4</v>
      </c>
      <c r="M93" s="48">
        <v>32.4</v>
      </c>
      <c r="N93" s="48">
        <v>32.4</v>
      </c>
      <c r="O93" s="48">
        <v>0</v>
      </c>
      <c r="P93" s="48">
        <v>0</v>
      </c>
      <c r="Q93" s="48">
        <v>14532.582119999999</v>
      </c>
      <c r="R93" s="48">
        <v>14444.362519999999</v>
      </c>
      <c r="S93" s="48">
        <f t="shared" si="3"/>
        <v>2.0822116641168512E-2</v>
      </c>
    </row>
    <row r="94" spans="1:20" ht="60" x14ac:dyDescent="0.25">
      <c r="A94" s="37">
        <v>87</v>
      </c>
      <c r="B94" s="32" t="s">
        <v>93</v>
      </c>
      <c r="C94" s="11"/>
      <c r="D94" s="48">
        <v>8353.6679999999997</v>
      </c>
      <c r="E94" s="48">
        <v>7784.6167400000004</v>
      </c>
      <c r="F94" s="48">
        <v>0</v>
      </c>
      <c r="G94" s="48">
        <v>0</v>
      </c>
      <c r="H94" s="48">
        <v>1289.0206800000001</v>
      </c>
      <c r="I94" s="48">
        <v>1297.49037</v>
      </c>
      <c r="J94" s="48">
        <v>282.26299999999998</v>
      </c>
      <c r="K94" s="48">
        <v>73.536100000000005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9924.9516800000001</v>
      </c>
      <c r="R94" s="48">
        <v>9155.6432100000002</v>
      </c>
      <c r="S94" s="48">
        <f t="shared" si="3"/>
        <v>2.8439735436575946E-2</v>
      </c>
    </row>
    <row r="95" spans="1:20" x14ac:dyDescent="0.25">
      <c r="A95" s="37">
        <v>88</v>
      </c>
      <c r="B95" s="32" t="s">
        <v>96</v>
      </c>
      <c r="C95" s="11"/>
      <c r="D95" s="48">
        <v>5184</v>
      </c>
      <c r="E95" s="48">
        <v>5233.0410599999996</v>
      </c>
      <c r="F95" s="48">
        <v>0</v>
      </c>
      <c r="G95" s="48">
        <v>0</v>
      </c>
      <c r="H95" s="48">
        <v>4476</v>
      </c>
      <c r="I95" s="48">
        <v>4962.8249999999998</v>
      </c>
      <c r="J95" s="48">
        <v>441.33366000000001</v>
      </c>
      <c r="K95" s="48">
        <v>207.00044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10101.33366</v>
      </c>
      <c r="R95" s="48">
        <v>10402.8665</v>
      </c>
      <c r="S95" s="48">
        <f t="shared" si="3"/>
        <v>4.369063282679448E-2</v>
      </c>
    </row>
    <row r="96" spans="1:20" x14ac:dyDescent="0.25">
      <c r="A96" s="10"/>
      <c r="B96" s="13" t="s">
        <v>18</v>
      </c>
      <c r="C96" s="13"/>
      <c r="D96" s="49">
        <f t="shared" ref="D96:R96" si="4">SUM(D8:D95)</f>
        <v>1731960.118</v>
      </c>
      <c r="E96" s="49">
        <f t="shared" si="4"/>
        <v>1720882.0816999995</v>
      </c>
      <c r="F96" s="49">
        <f t="shared" si="4"/>
        <v>0</v>
      </c>
      <c r="G96" s="49">
        <f t="shared" si="4"/>
        <v>0</v>
      </c>
      <c r="H96" s="49">
        <f t="shared" si="4"/>
        <v>420941.56981000007</v>
      </c>
      <c r="I96" s="49">
        <f t="shared" si="4"/>
        <v>421683.44707000017</v>
      </c>
      <c r="J96" s="49">
        <f t="shared" si="4"/>
        <v>81149.694249999971</v>
      </c>
      <c r="K96" s="49">
        <f t="shared" si="4"/>
        <v>79505.602469999983</v>
      </c>
      <c r="L96" s="49">
        <f t="shared" si="4"/>
        <v>16026</v>
      </c>
      <c r="M96" s="49">
        <f t="shared" si="4"/>
        <v>16026</v>
      </c>
      <c r="N96" s="49">
        <f t="shared" si="4"/>
        <v>16026</v>
      </c>
      <c r="O96" s="49">
        <f t="shared" si="4"/>
        <v>3526.0682299999999</v>
      </c>
      <c r="P96" s="49">
        <f t="shared" si="4"/>
        <v>3526.0682299999999</v>
      </c>
      <c r="Q96" s="49">
        <f t="shared" si="4"/>
        <v>2237625.8530800003</v>
      </c>
      <c r="R96" s="49">
        <f t="shared" si="4"/>
        <v>2225645.5971600018</v>
      </c>
      <c r="S96" s="45">
        <f>(J96+L96+O96)/Q96</f>
        <v>4.5003842953185463E-2</v>
      </c>
    </row>
    <row r="97" spans="2:19" x14ac:dyDescent="0.25">
      <c r="B97" s="3"/>
      <c r="C97" s="3"/>
      <c r="S97" s="12"/>
    </row>
    <row r="98" spans="2:19" x14ac:dyDescent="0.25">
      <c r="B98" s="3"/>
      <c r="C98" s="3"/>
      <c r="S98" s="14"/>
    </row>
    <row r="99" spans="2:19" x14ac:dyDescent="0.25">
      <c r="B99" s="3"/>
      <c r="C99" s="3"/>
      <c r="D99" s="15"/>
      <c r="E99" s="15"/>
    </row>
    <row r="100" spans="2:19" x14ac:dyDescent="0.25">
      <c r="B100" s="3"/>
      <c r="C100" s="3"/>
    </row>
  </sheetData>
  <mergeCells count="17">
    <mergeCell ref="O1:P2"/>
    <mergeCell ref="Q1:S1"/>
    <mergeCell ref="F2:N2"/>
    <mergeCell ref="S4:S7"/>
    <mergeCell ref="A4:A7"/>
    <mergeCell ref="B4:B7"/>
    <mergeCell ref="D4:I4"/>
    <mergeCell ref="J4:P4"/>
    <mergeCell ref="Q4:R6"/>
    <mergeCell ref="D5:E6"/>
    <mergeCell ref="F5:G6"/>
    <mergeCell ref="H5:I6"/>
    <mergeCell ref="J5:K6"/>
    <mergeCell ref="L5:N5"/>
    <mergeCell ref="O5:P6"/>
    <mergeCell ref="L6:M6"/>
    <mergeCell ref="N6:N7"/>
  </mergeCells>
  <pageMargins left="0.17" right="0.17" top="0.28000000000000003" bottom="0.27" header="0.2" footer="0.16"/>
  <pageSetup paperSize="9" scale="50" fitToHeight="0" orientation="landscape" r:id="rId1"/>
  <rowBreaks count="1" manualBreakCount="1">
    <brk id="7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04"/>
  <sheetViews>
    <sheetView view="pageBreakPreview" zoomScale="80" zoomScaleNormal="80" zoomScaleSheetLayoutView="80" workbookViewId="0">
      <pane xSplit="2" ySplit="7" topLeftCell="C95" activePane="bottomRight" state="frozen"/>
      <selection activeCell="A8" sqref="A8:A75"/>
      <selection pane="topRight" activeCell="A8" sqref="A8:A75"/>
      <selection pane="bottomLeft" activeCell="A8" sqref="A8:A75"/>
      <selection pane="bottomRight" activeCell="E110" sqref="D101:E110"/>
    </sheetView>
  </sheetViews>
  <sheetFormatPr defaultRowHeight="15" x14ac:dyDescent="0.25"/>
  <cols>
    <col min="1" max="1" width="4.28515625" style="74" customWidth="1"/>
    <col min="2" max="2" width="55.85546875" style="17" customWidth="1"/>
    <col min="3" max="3" width="15.85546875" style="17" customWidth="1"/>
    <col min="4" max="4" width="20.28515625" style="18" customWidth="1"/>
    <col min="5" max="5" width="21.5703125" style="18" customWidth="1"/>
    <col min="6" max="6" width="26" style="18" customWidth="1"/>
    <col min="7" max="7" width="23.28515625" style="18" customWidth="1"/>
    <col min="8" max="8" width="18.42578125" style="18" customWidth="1"/>
    <col min="9" max="9" width="18.140625" style="18" customWidth="1"/>
    <col min="10" max="10" width="23.85546875" style="18" customWidth="1"/>
    <col min="11" max="11" width="9.140625" style="18" customWidth="1"/>
    <col min="12" max="12" width="9.140625" style="18"/>
    <col min="13" max="13" width="11.7109375" style="18" customWidth="1"/>
    <col min="14" max="14" width="13.42578125" style="18" bestFit="1" customWidth="1"/>
    <col min="15" max="15" width="15.140625" style="18" bestFit="1" customWidth="1"/>
    <col min="16" max="16" width="16.28515625" style="18" bestFit="1" customWidth="1"/>
    <col min="17" max="16384" width="9.140625" style="18"/>
  </cols>
  <sheetData>
    <row r="1" spans="1:16" x14ac:dyDescent="0.25">
      <c r="J1" s="4" t="s">
        <v>19</v>
      </c>
    </row>
    <row r="2" spans="1:16" ht="49.5" customHeight="1" x14ac:dyDescent="0.25">
      <c r="C2" s="157" t="s">
        <v>98</v>
      </c>
      <c r="D2" s="157"/>
      <c r="E2" s="157"/>
      <c r="F2" s="157"/>
      <c r="G2" s="157"/>
      <c r="H2" s="157"/>
    </row>
    <row r="4" spans="1:16" ht="15" customHeight="1" x14ac:dyDescent="0.25">
      <c r="A4" s="158" t="s">
        <v>20</v>
      </c>
      <c r="B4" s="161" t="s">
        <v>21</v>
      </c>
      <c r="C4" s="161" t="s">
        <v>22</v>
      </c>
      <c r="D4" s="147" t="s">
        <v>23</v>
      </c>
      <c r="E4" s="164"/>
      <c r="F4" s="164"/>
      <c r="G4" s="164"/>
      <c r="H4" s="164"/>
      <c r="I4" s="164"/>
      <c r="J4" s="148"/>
    </row>
    <row r="5" spans="1:16" x14ac:dyDescent="0.25">
      <c r="A5" s="159"/>
      <c r="B5" s="162"/>
      <c r="C5" s="162"/>
      <c r="D5" s="158" t="s">
        <v>15</v>
      </c>
      <c r="E5" s="149" t="s">
        <v>24</v>
      </c>
      <c r="F5" s="149"/>
      <c r="G5" s="149"/>
      <c r="H5" s="149"/>
      <c r="I5" s="149"/>
      <c r="J5" s="165" t="s">
        <v>25</v>
      </c>
    </row>
    <row r="6" spans="1:16" ht="15" customHeight="1" x14ac:dyDescent="0.25">
      <c r="A6" s="159"/>
      <c r="B6" s="162"/>
      <c r="C6" s="162"/>
      <c r="D6" s="159"/>
      <c r="E6" s="149"/>
      <c r="F6" s="149"/>
      <c r="G6" s="149"/>
      <c r="H6" s="149"/>
      <c r="I6" s="149"/>
      <c r="J6" s="135"/>
    </row>
    <row r="7" spans="1:16" s="74" customFormat="1" ht="90" x14ac:dyDescent="0.25">
      <c r="A7" s="160"/>
      <c r="B7" s="163"/>
      <c r="C7" s="163"/>
      <c r="D7" s="160"/>
      <c r="E7" s="73" t="s">
        <v>7</v>
      </c>
      <c r="F7" s="73" t="s">
        <v>8</v>
      </c>
      <c r="G7" s="73" t="s">
        <v>26</v>
      </c>
      <c r="H7" s="73" t="s">
        <v>27</v>
      </c>
      <c r="I7" s="73" t="s">
        <v>28</v>
      </c>
      <c r="J7" s="137"/>
      <c r="M7" s="72"/>
    </row>
    <row r="8" spans="1:16" ht="30" x14ac:dyDescent="0.25">
      <c r="A8" s="73">
        <v>1</v>
      </c>
      <c r="B8" s="35" t="s">
        <v>124</v>
      </c>
      <c r="C8" s="51">
        <v>187</v>
      </c>
      <c r="D8" s="95">
        <f>E8+F8+G8+H8+I8</f>
        <v>-889.90000000000009</v>
      </c>
      <c r="E8" s="96">
        <v>-573.20000000000005</v>
      </c>
      <c r="F8" s="97">
        <v>0</v>
      </c>
      <c r="G8" s="98">
        <v>0</v>
      </c>
      <c r="H8" s="97">
        <v>0</v>
      </c>
      <c r="I8" s="96">
        <v>-316.7</v>
      </c>
      <c r="J8" s="54">
        <v>-402.62812000000002</v>
      </c>
      <c r="L8" s="20"/>
      <c r="M8" s="20"/>
      <c r="O8" s="25"/>
    </row>
    <row r="9" spans="1:16" ht="17.25" customHeight="1" x14ac:dyDescent="0.25">
      <c r="A9" s="73">
        <v>2</v>
      </c>
      <c r="B9" s="35" t="s">
        <v>125</v>
      </c>
      <c r="C9" s="51">
        <v>99</v>
      </c>
      <c r="D9" s="95">
        <f t="shared" ref="D9:D72" si="0">E9+F9+G9+H9+I9</f>
        <v>-252.95961</v>
      </c>
      <c r="E9" s="96">
        <v>-152.9</v>
      </c>
      <c r="F9" s="97">
        <v>0</v>
      </c>
      <c r="G9" s="99">
        <v>28.040389999999999</v>
      </c>
      <c r="H9" s="97">
        <v>0</v>
      </c>
      <c r="I9" s="99">
        <v>-128.1</v>
      </c>
      <c r="J9" s="54">
        <v>-527.58887000000004</v>
      </c>
      <c r="L9" s="20"/>
      <c r="M9" s="20"/>
      <c r="O9" s="25"/>
    </row>
    <row r="10" spans="1:16" x14ac:dyDescent="0.25">
      <c r="A10" s="73">
        <v>3</v>
      </c>
      <c r="B10" s="35" t="s">
        <v>126</v>
      </c>
      <c r="C10" s="51">
        <v>168</v>
      </c>
      <c r="D10" s="95">
        <f t="shared" si="0"/>
        <v>-815.82410999999991</v>
      </c>
      <c r="E10" s="96">
        <v>-263.89999999999998</v>
      </c>
      <c r="F10" s="97">
        <v>0</v>
      </c>
      <c r="G10" s="99">
        <v>10.87589</v>
      </c>
      <c r="H10" s="97">
        <v>0</v>
      </c>
      <c r="I10" s="99">
        <v>-562.79999999999995</v>
      </c>
      <c r="J10" s="54">
        <v>-1217.2728199999999</v>
      </c>
      <c r="L10" s="21"/>
      <c r="M10" s="20"/>
      <c r="O10" s="25"/>
    </row>
    <row r="11" spans="1:16" x14ac:dyDescent="0.25">
      <c r="A11" s="73">
        <v>4</v>
      </c>
      <c r="B11" s="35" t="s">
        <v>127</v>
      </c>
      <c r="C11" s="51">
        <v>154</v>
      </c>
      <c r="D11" s="95">
        <f t="shared" si="0"/>
        <v>854.78351999999995</v>
      </c>
      <c r="E11" s="96">
        <v>749.8</v>
      </c>
      <c r="F11" s="97">
        <v>0</v>
      </c>
      <c r="G11" s="99">
        <v>69.78352000000001</v>
      </c>
      <c r="H11" s="97">
        <v>0</v>
      </c>
      <c r="I11" s="99">
        <v>35.200000000000003</v>
      </c>
      <c r="J11" s="54">
        <v>-1152.73407</v>
      </c>
      <c r="L11" s="20"/>
      <c r="M11" s="20"/>
      <c r="O11" s="25"/>
    </row>
    <row r="12" spans="1:16" x14ac:dyDescent="0.25">
      <c r="A12" s="73">
        <v>5</v>
      </c>
      <c r="B12" s="35" t="s">
        <v>128</v>
      </c>
      <c r="C12" s="51">
        <v>138</v>
      </c>
      <c r="D12" s="95">
        <f t="shared" si="0"/>
        <v>-3523.9033699999991</v>
      </c>
      <c r="E12" s="96">
        <v>-16344.9</v>
      </c>
      <c r="F12" s="97">
        <v>0</v>
      </c>
      <c r="G12" s="98">
        <v>12375.19663</v>
      </c>
      <c r="H12" s="97">
        <v>0</v>
      </c>
      <c r="I12" s="96">
        <v>445.8</v>
      </c>
      <c r="J12" s="54">
        <v>-1034.8542500000001</v>
      </c>
      <c r="L12" s="21"/>
      <c r="M12" s="20"/>
      <c r="O12" s="25"/>
    </row>
    <row r="13" spans="1:16" ht="21.75" customHeight="1" x14ac:dyDescent="0.25">
      <c r="A13" s="73">
        <v>6</v>
      </c>
      <c r="B13" s="35" t="s">
        <v>129</v>
      </c>
      <c r="C13" s="51">
        <v>355</v>
      </c>
      <c r="D13" s="95">
        <f t="shared" si="0"/>
        <v>-1634.32728</v>
      </c>
      <c r="E13" s="96">
        <v>-943</v>
      </c>
      <c r="F13" s="97">
        <v>0</v>
      </c>
      <c r="G13" s="99">
        <v>-63.527279999999998</v>
      </c>
      <c r="H13" s="97">
        <v>0</v>
      </c>
      <c r="I13" s="99">
        <v>-627.79999999999995</v>
      </c>
      <c r="J13" s="54">
        <v>2996.6814899999999</v>
      </c>
      <c r="L13" s="21"/>
      <c r="M13" s="20"/>
      <c r="O13" s="25"/>
    </row>
    <row r="14" spans="1:16" ht="30" x14ac:dyDescent="0.25">
      <c r="A14" s="73">
        <v>7</v>
      </c>
      <c r="B14" s="35" t="s">
        <v>130</v>
      </c>
      <c r="C14" s="51">
        <v>284</v>
      </c>
      <c r="D14" s="95">
        <f t="shared" si="0"/>
        <v>-581.6</v>
      </c>
      <c r="E14" s="96">
        <v>-520.5</v>
      </c>
      <c r="F14" s="97">
        <v>0</v>
      </c>
      <c r="G14" s="99">
        <v>30</v>
      </c>
      <c r="H14" s="97">
        <v>0</v>
      </c>
      <c r="I14" s="99">
        <v>-91.1</v>
      </c>
      <c r="J14" s="54">
        <v>-956.91274999999996</v>
      </c>
      <c r="L14" s="20"/>
      <c r="M14" s="20"/>
      <c r="O14" s="25"/>
    </row>
    <row r="15" spans="1:16" x14ac:dyDescent="0.25">
      <c r="A15" s="73">
        <v>8</v>
      </c>
      <c r="B15" s="35" t="s">
        <v>131</v>
      </c>
      <c r="C15" s="51">
        <v>1238</v>
      </c>
      <c r="D15" s="95">
        <f t="shared" si="0"/>
        <v>-3533.1996199999999</v>
      </c>
      <c r="E15" s="96">
        <v>-4073.6</v>
      </c>
      <c r="F15" s="97">
        <v>0</v>
      </c>
      <c r="G15" s="99">
        <v>500.30038000000002</v>
      </c>
      <c r="H15" s="97">
        <v>0</v>
      </c>
      <c r="I15" s="99">
        <v>40.1</v>
      </c>
      <c r="J15" s="54">
        <v>-10784.329089999999</v>
      </c>
      <c r="L15" s="20"/>
      <c r="M15" s="20"/>
      <c r="O15" s="25"/>
    </row>
    <row r="16" spans="1:16" x14ac:dyDescent="0.25">
      <c r="A16" s="73">
        <v>9</v>
      </c>
      <c r="B16" s="35" t="s">
        <v>132</v>
      </c>
      <c r="C16" s="51">
        <f>241+72</f>
        <v>313</v>
      </c>
      <c r="D16" s="95">
        <f t="shared" si="0"/>
        <v>-1704.5509999999999</v>
      </c>
      <c r="E16" s="96">
        <v>-1676.3</v>
      </c>
      <c r="F16" s="97">
        <v>0</v>
      </c>
      <c r="G16" s="99">
        <v>50.249000000000002</v>
      </c>
      <c r="H16" s="97">
        <v>0</v>
      </c>
      <c r="I16" s="99">
        <v>-78.5</v>
      </c>
      <c r="J16" s="54">
        <v>-209.71786</v>
      </c>
      <c r="L16" s="20"/>
      <c r="M16" s="20"/>
      <c r="O16" s="25"/>
      <c r="P16" s="25"/>
    </row>
    <row r="17" spans="1:16" x14ac:dyDescent="0.25">
      <c r="A17" s="73">
        <v>10</v>
      </c>
      <c r="B17" s="35" t="s">
        <v>133</v>
      </c>
      <c r="C17" s="51">
        <f>219+48</f>
        <v>267</v>
      </c>
      <c r="D17" s="95">
        <f t="shared" si="0"/>
        <v>-660.80801999999994</v>
      </c>
      <c r="E17" s="96">
        <v>-2025.6</v>
      </c>
      <c r="F17" s="97">
        <v>0</v>
      </c>
      <c r="G17" s="99">
        <v>1528.29198</v>
      </c>
      <c r="H17" s="97">
        <v>0</v>
      </c>
      <c r="I17" s="99">
        <v>-163.5</v>
      </c>
      <c r="J17" s="54">
        <v>-2195.4567200000001</v>
      </c>
      <c r="L17" s="21"/>
      <c r="M17" s="20"/>
      <c r="O17" s="25"/>
    </row>
    <row r="18" spans="1:16" x14ac:dyDescent="0.25">
      <c r="A18" s="73">
        <v>11</v>
      </c>
      <c r="B18" s="35" t="s">
        <v>134</v>
      </c>
      <c r="C18" s="51">
        <v>338</v>
      </c>
      <c r="D18" s="95">
        <f t="shared" si="0"/>
        <v>-3257.6092200000003</v>
      </c>
      <c r="E18" s="96">
        <v>-3924.9</v>
      </c>
      <c r="F18" s="97">
        <v>0</v>
      </c>
      <c r="G18" s="99">
        <v>627.69078000000002</v>
      </c>
      <c r="H18" s="97">
        <v>0</v>
      </c>
      <c r="I18" s="99">
        <v>39.6</v>
      </c>
      <c r="J18" s="54">
        <v>-47.249310000000001</v>
      </c>
      <c r="L18" s="20"/>
      <c r="M18" s="20"/>
      <c r="O18" s="25"/>
    </row>
    <row r="19" spans="1:16" ht="17.25" customHeight="1" x14ac:dyDescent="0.25">
      <c r="A19" s="73">
        <v>12</v>
      </c>
      <c r="B19" s="35" t="s">
        <v>135</v>
      </c>
      <c r="C19" s="51">
        <f>308+25</f>
        <v>333</v>
      </c>
      <c r="D19" s="95">
        <f t="shared" si="0"/>
        <v>-3331.6922399999999</v>
      </c>
      <c r="E19" s="96">
        <v>-3348.6</v>
      </c>
      <c r="F19" s="97">
        <v>0</v>
      </c>
      <c r="G19" s="99">
        <v>107.00775999999999</v>
      </c>
      <c r="H19" s="97">
        <v>0</v>
      </c>
      <c r="I19" s="99">
        <v>-90.1</v>
      </c>
      <c r="J19" s="54">
        <v>-2888.39878</v>
      </c>
      <c r="L19" s="20"/>
      <c r="M19" s="20"/>
      <c r="O19" s="25"/>
    </row>
    <row r="20" spans="1:16" x14ac:dyDescent="0.25">
      <c r="A20" s="73">
        <v>13</v>
      </c>
      <c r="B20" s="35" t="s">
        <v>136</v>
      </c>
      <c r="C20" s="51">
        <v>390</v>
      </c>
      <c r="D20" s="95">
        <f t="shared" si="0"/>
        <v>-1775.7583399999999</v>
      </c>
      <c r="E20" s="96">
        <v>-1853.3</v>
      </c>
      <c r="F20" s="97">
        <v>0</v>
      </c>
      <c r="G20" s="99">
        <v>71.541660000000007</v>
      </c>
      <c r="H20" s="97">
        <v>0</v>
      </c>
      <c r="I20" s="99">
        <v>6</v>
      </c>
      <c r="J20" s="54">
        <v>-3931.41995</v>
      </c>
      <c r="L20" s="21"/>
      <c r="M20" s="20"/>
      <c r="O20" s="25"/>
    </row>
    <row r="21" spans="1:16" x14ac:dyDescent="0.25">
      <c r="A21" s="73">
        <v>14</v>
      </c>
      <c r="B21" s="35" t="s">
        <v>137</v>
      </c>
      <c r="C21" s="51">
        <f>669+21</f>
        <v>690</v>
      </c>
      <c r="D21" s="95">
        <f t="shared" si="0"/>
        <v>-1303.1827599999999</v>
      </c>
      <c r="E21" s="96">
        <v>-3356.9</v>
      </c>
      <c r="F21" s="97">
        <v>0</v>
      </c>
      <c r="G21" s="98">
        <v>1978.8172400000001</v>
      </c>
      <c r="H21" s="97">
        <v>0</v>
      </c>
      <c r="I21" s="96">
        <v>74.900000000000006</v>
      </c>
      <c r="J21" s="54">
        <v>-3576.7335899999998</v>
      </c>
      <c r="L21" s="21"/>
      <c r="M21" s="20"/>
      <c r="O21" s="25"/>
    </row>
    <row r="22" spans="1:16" x14ac:dyDescent="0.25">
      <c r="A22" s="73">
        <v>15</v>
      </c>
      <c r="B22" s="35" t="s">
        <v>138</v>
      </c>
      <c r="C22" s="51">
        <f>385+31</f>
        <v>416</v>
      </c>
      <c r="D22" s="95">
        <f t="shared" si="0"/>
        <v>-5154.9749699999993</v>
      </c>
      <c r="E22" s="96">
        <v>-6005.7</v>
      </c>
      <c r="F22" s="97">
        <v>0</v>
      </c>
      <c r="G22" s="98">
        <v>708.72503000000006</v>
      </c>
      <c r="H22" s="97">
        <v>0</v>
      </c>
      <c r="I22" s="96">
        <v>142</v>
      </c>
      <c r="J22" s="54">
        <v>-4719.2325199999996</v>
      </c>
      <c r="L22" s="20"/>
      <c r="M22" s="20"/>
      <c r="O22" s="25"/>
    </row>
    <row r="23" spans="1:16" x14ac:dyDescent="0.25">
      <c r="A23" s="73">
        <v>16</v>
      </c>
      <c r="B23" s="35" t="s">
        <v>139</v>
      </c>
      <c r="C23" s="51">
        <f>1006+18</f>
        <v>1024</v>
      </c>
      <c r="D23" s="95">
        <f t="shared" si="0"/>
        <v>-17380.21746</v>
      </c>
      <c r="E23" s="96">
        <v>-12729.3</v>
      </c>
      <c r="F23" s="97">
        <v>0</v>
      </c>
      <c r="G23" s="99">
        <v>-5276.4174599999997</v>
      </c>
      <c r="H23" s="97">
        <v>0</v>
      </c>
      <c r="I23" s="99">
        <v>625.5</v>
      </c>
      <c r="J23" s="54">
        <v>-77609.252540000001</v>
      </c>
      <c r="L23" s="21"/>
      <c r="M23" s="20"/>
      <c r="O23" s="25"/>
    </row>
    <row r="24" spans="1:16" ht="30" x14ac:dyDescent="0.25">
      <c r="A24" s="73">
        <v>17</v>
      </c>
      <c r="B24" s="35" t="s">
        <v>140</v>
      </c>
      <c r="C24" s="51">
        <v>133</v>
      </c>
      <c r="D24" s="95">
        <f t="shared" si="0"/>
        <v>-416.1</v>
      </c>
      <c r="E24" s="96">
        <v>-364.1</v>
      </c>
      <c r="F24" s="97">
        <v>0</v>
      </c>
      <c r="G24" s="96">
        <v>0</v>
      </c>
      <c r="H24" s="97">
        <v>0</v>
      </c>
      <c r="I24" s="99">
        <v>-52</v>
      </c>
      <c r="J24" s="54">
        <v>-749.53418999999997</v>
      </c>
      <c r="L24" s="20"/>
      <c r="M24" s="20"/>
      <c r="O24" s="25"/>
    </row>
    <row r="25" spans="1:16" ht="30" x14ac:dyDescent="0.25">
      <c r="A25" s="73">
        <v>18</v>
      </c>
      <c r="B25" s="35" t="s">
        <v>141</v>
      </c>
      <c r="C25" s="51">
        <v>161</v>
      </c>
      <c r="D25" s="95">
        <f t="shared" si="0"/>
        <v>-392.43907999999999</v>
      </c>
      <c r="E25" s="96">
        <v>-384.5</v>
      </c>
      <c r="F25" s="97">
        <v>0</v>
      </c>
      <c r="G25" s="98">
        <v>103.76092</v>
      </c>
      <c r="H25" s="97">
        <v>0</v>
      </c>
      <c r="I25" s="96">
        <v>-111.7</v>
      </c>
      <c r="J25" s="54">
        <v>-820.43965000000003</v>
      </c>
      <c r="L25" s="20"/>
      <c r="M25" s="20"/>
      <c r="O25" s="25"/>
    </row>
    <row r="26" spans="1:16" x14ac:dyDescent="0.25">
      <c r="A26" s="73">
        <v>19</v>
      </c>
      <c r="B26" s="35" t="s">
        <v>142</v>
      </c>
      <c r="C26" s="51">
        <v>453</v>
      </c>
      <c r="D26" s="95">
        <f t="shared" si="0"/>
        <v>-7599.9000000000005</v>
      </c>
      <c r="E26" s="96">
        <v>-20647.5</v>
      </c>
      <c r="F26" s="97">
        <v>0</v>
      </c>
      <c r="G26" s="99">
        <v>10954.8</v>
      </c>
      <c r="H26" s="97">
        <v>0</v>
      </c>
      <c r="I26" s="99">
        <v>2092.8000000000002</v>
      </c>
      <c r="J26" s="54">
        <v>-9084.8521500000006</v>
      </c>
      <c r="L26" s="20"/>
      <c r="M26" s="20"/>
      <c r="O26" s="25"/>
    </row>
    <row r="27" spans="1:16" ht="30" x14ac:dyDescent="0.25">
      <c r="A27" s="73">
        <v>20</v>
      </c>
      <c r="B27" s="35" t="s">
        <v>143</v>
      </c>
      <c r="C27" s="51">
        <v>171</v>
      </c>
      <c r="D27" s="95">
        <f t="shared" si="0"/>
        <v>-1347.5288000000003</v>
      </c>
      <c r="E27" s="100">
        <v>-1453.9</v>
      </c>
      <c r="F27" s="97">
        <v>0</v>
      </c>
      <c r="G27" s="99">
        <v>-27.2288</v>
      </c>
      <c r="H27" s="97">
        <v>0</v>
      </c>
      <c r="I27" s="99">
        <v>133.6</v>
      </c>
      <c r="J27" s="54">
        <v>-1065.2250100000001</v>
      </c>
      <c r="L27" s="20"/>
      <c r="M27" s="20"/>
      <c r="O27" s="25"/>
    </row>
    <row r="28" spans="1:16" x14ac:dyDescent="0.25">
      <c r="A28" s="73">
        <v>21</v>
      </c>
      <c r="B28" s="35" t="s">
        <v>144</v>
      </c>
      <c r="C28" s="51">
        <v>95</v>
      </c>
      <c r="D28" s="95">
        <f t="shared" si="0"/>
        <v>66.128150000000005</v>
      </c>
      <c r="E28" s="96">
        <v>47.1</v>
      </c>
      <c r="F28" s="97">
        <v>0</v>
      </c>
      <c r="G28" s="99">
        <v>-17.771849999999997</v>
      </c>
      <c r="H28" s="97">
        <v>0</v>
      </c>
      <c r="I28" s="99">
        <v>36.799999999999997</v>
      </c>
      <c r="J28" s="54">
        <v>-1209.4374</v>
      </c>
      <c r="L28" s="20"/>
      <c r="M28" s="20"/>
      <c r="O28" s="25"/>
    </row>
    <row r="29" spans="1:16" ht="30" x14ac:dyDescent="0.25">
      <c r="A29" s="73">
        <v>22</v>
      </c>
      <c r="B29" s="35" t="s">
        <v>145</v>
      </c>
      <c r="C29" s="51">
        <v>134</v>
      </c>
      <c r="D29" s="95">
        <f t="shared" si="0"/>
        <v>-491.45785000000001</v>
      </c>
      <c r="E29" s="96">
        <v>-427.6</v>
      </c>
      <c r="F29" s="97">
        <v>0</v>
      </c>
      <c r="G29" s="99">
        <v>1.44215</v>
      </c>
      <c r="H29" s="97">
        <v>0</v>
      </c>
      <c r="I29" s="99">
        <v>-65.3</v>
      </c>
      <c r="J29" s="54">
        <v>-802.03693999999996</v>
      </c>
      <c r="L29" s="20"/>
      <c r="M29" s="20"/>
      <c r="O29" s="25"/>
    </row>
    <row r="30" spans="1:16" x14ac:dyDescent="0.25">
      <c r="A30" s="73">
        <v>23</v>
      </c>
      <c r="B30" s="35" t="s">
        <v>146</v>
      </c>
      <c r="C30" s="51">
        <v>141</v>
      </c>
      <c r="D30" s="95">
        <f t="shared" si="0"/>
        <v>-773.21900000000005</v>
      </c>
      <c r="E30" s="96">
        <v>-678.7</v>
      </c>
      <c r="F30" s="97">
        <v>0</v>
      </c>
      <c r="G30" s="99">
        <v>-28.119</v>
      </c>
      <c r="H30" s="97">
        <v>0</v>
      </c>
      <c r="I30" s="99">
        <v>-66.400000000000006</v>
      </c>
      <c r="J30" s="54">
        <v>-865.83915999999999</v>
      </c>
      <c r="L30" s="20"/>
      <c r="M30" s="20"/>
      <c r="O30" s="25"/>
      <c r="P30" s="25"/>
    </row>
    <row r="31" spans="1:16" x14ac:dyDescent="0.25">
      <c r="A31" s="73">
        <v>24</v>
      </c>
      <c r="B31" s="35" t="s">
        <v>147</v>
      </c>
      <c r="C31" s="51">
        <v>44</v>
      </c>
      <c r="D31" s="95">
        <f t="shared" si="0"/>
        <v>-590.29999999999995</v>
      </c>
      <c r="E31" s="96">
        <v>-549</v>
      </c>
      <c r="F31" s="97">
        <v>0</v>
      </c>
      <c r="G31" s="99">
        <v>0</v>
      </c>
      <c r="H31" s="97">
        <v>0</v>
      </c>
      <c r="I31" s="99">
        <v>-41.3</v>
      </c>
      <c r="J31" s="54">
        <v>127.04978</v>
      </c>
      <c r="L31" s="21"/>
      <c r="M31" s="20"/>
      <c r="O31" s="25"/>
    </row>
    <row r="32" spans="1:16" x14ac:dyDescent="0.25">
      <c r="A32" s="73">
        <v>25</v>
      </c>
      <c r="B32" s="35" t="s">
        <v>148</v>
      </c>
      <c r="C32" s="51">
        <v>102</v>
      </c>
      <c r="D32" s="95">
        <f t="shared" si="0"/>
        <v>-587.95863999999995</v>
      </c>
      <c r="E32" s="96">
        <v>-665.8</v>
      </c>
      <c r="F32" s="97">
        <v>0</v>
      </c>
      <c r="G32" s="98">
        <v>93.341359999999995</v>
      </c>
      <c r="H32" s="97">
        <v>0</v>
      </c>
      <c r="I32" s="96">
        <v>-15.5</v>
      </c>
      <c r="J32" s="54">
        <v>1733.0005000000001</v>
      </c>
      <c r="L32" s="20"/>
      <c r="M32" s="20"/>
      <c r="O32" s="25"/>
    </row>
    <row r="33" spans="1:15" x14ac:dyDescent="0.25">
      <c r="A33" s="73">
        <v>26</v>
      </c>
      <c r="B33" s="35" t="s">
        <v>149</v>
      </c>
      <c r="C33" s="51">
        <v>121</v>
      </c>
      <c r="D33" s="95">
        <f t="shared" si="0"/>
        <v>-331.72058999999996</v>
      </c>
      <c r="E33" s="96">
        <v>-317.2</v>
      </c>
      <c r="F33" s="97">
        <v>0</v>
      </c>
      <c r="G33" s="98">
        <v>16.679410000000001</v>
      </c>
      <c r="H33" s="97">
        <v>0</v>
      </c>
      <c r="I33" s="96">
        <v>-31.2</v>
      </c>
      <c r="J33" s="54">
        <v>-604.08662500000003</v>
      </c>
      <c r="L33" s="20"/>
      <c r="M33" s="20"/>
      <c r="O33" s="25"/>
    </row>
    <row r="34" spans="1:15" x14ac:dyDescent="0.25">
      <c r="A34" s="73">
        <v>27</v>
      </c>
      <c r="B34" s="35" t="s">
        <v>150</v>
      </c>
      <c r="C34" s="51">
        <v>229</v>
      </c>
      <c r="D34" s="95">
        <f t="shared" si="0"/>
        <v>-424.90000000000003</v>
      </c>
      <c r="E34" s="96">
        <v>-475.3</v>
      </c>
      <c r="F34" s="97">
        <v>0</v>
      </c>
      <c r="G34" s="99">
        <v>0</v>
      </c>
      <c r="H34" s="97">
        <v>0</v>
      </c>
      <c r="I34" s="99">
        <v>50.4</v>
      </c>
      <c r="J34" s="54">
        <v>-1645.0367900000001</v>
      </c>
      <c r="L34" s="20"/>
      <c r="M34" s="20"/>
      <c r="O34" s="25"/>
    </row>
    <row r="35" spans="1:15" x14ac:dyDescent="0.25">
      <c r="A35" s="73">
        <v>28</v>
      </c>
      <c r="B35" s="35" t="s">
        <v>151</v>
      </c>
      <c r="C35" s="94">
        <v>57</v>
      </c>
      <c r="D35" s="95">
        <f t="shared" si="0"/>
        <v>-88.8</v>
      </c>
      <c r="E35" s="96">
        <v>-3</v>
      </c>
      <c r="F35" s="97">
        <v>0</v>
      </c>
      <c r="G35" s="96">
        <v>5</v>
      </c>
      <c r="H35" s="97">
        <v>0</v>
      </c>
      <c r="I35" s="99">
        <v>-90.8</v>
      </c>
      <c r="J35" s="54">
        <v>-439.40667999999999</v>
      </c>
      <c r="L35" s="38"/>
      <c r="M35" s="20"/>
    </row>
    <row r="36" spans="1:15" x14ac:dyDescent="0.25">
      <c r="A36" s="73">
        <v>29</v>
      </c>
      <c r="B36" s="35" t="s">
        <v>152</v>
      </c>
      <c r="C36" s="51">
        <v>182</v>
      </c>
      <c r="D36" s="95">
        <f t="shared" si="0"/>
        <v>117.01786000000001</v>
      </c>
      <c r="E36" s="96">
        <v>19.899999999999999</v>
      </c>
      <c r="F36" s="97">
        <v>0</v>
      </c>
      <c r="G36" s="99">
        <v>25.217860000000002</v>
      </c>
      <c r="H36" s="97">
        <v>0</v>
      </c>
      <c r="I36" s="99">
        <v>71.900000000000006</v>
      </c>
      <c r="J36" s="54">
        <v>-633.06349</v>
      </c>
      <c r="L36" s="20"/>
      <c r="M36" s="20"/>
      <c r="O36" s="25"/>
    </row>
    <row r="37" spans="1:15" x14ac:dyDescent="0.25">
      <c r="A37" s="73">
        <v>30</v>
      </c>
      <c r="B37" s="35" t="s">
        <v>153</v>
      </c>
      <c r="C37" s="51">
        <v>67</v>
      </c>
      <c r="D37" s="95">
        <f t="shared" si="0"/>
        <v>-407.4</v>
      </c>
      <c r="E37" s="96">
        <v>-369.9</v>
      </c>
      <c r="F37" s="97">
        <v>0</v>
      </c>
      <c r="G37" s="99">
        <v>0</v>
      </c>
      <c r="H37" s="97">
        <v>0</v>
      </c>
      <c r="I37" s="99">
        <v>-37.5</v>
      </c>
      <c r="J37" s="54">
        <v>7119.4084499999999</v>
      </c>
      <c r="L37" s="20"/>
      <c r="M37" s="20"/>
      <c r="O37" s="25"/>
    </row>
    <row r="38" spans="1:15" x14ac:dyDescent="0.25">
      <c r="A38" s="73">
        <v>31</v>
      </c>
      <c r="B38" s="35" t="s">
        <v>154</v>
      </c>
      <c r="C38" s="51">
        <v>121</v>
      </c>
      <c r="D38" s="95">
        <f t="shared" si="0"/>
        <v>-277.2</v>
      </c>
      <c r="E38" s="96">
        <v>-239.3</v>
      </c>
      <c r="F38" s="97">
        <v>0</v>
      </c>
      <c r="G38" s="96">
        <v>0</v>
      </c>
      <c r="H38" s="97">
        <v>0</v>
      </c>
      <c r="I38" s="99">
        <v>-37.9</v>
      </c>
      <c r="J38" s="54">
        <v>888.68515000000002</v>
      </c>
      <c r="L38" s="22"/>
      <c r="M38" s="20"/>
      <c r="O38" s="25"/>
    </row>
    <row r="39" spans="1:15" x14ac:dyDescent="0.25">
      <c r="A39" s="73">
        <v>32</v>
      </c>
      <c r="B39" s="35" t="s">
        <v>155</v>
      </c>
      <c r="C39" s="51">
        <v>114</v>
      </c>
      <c r="D39" s="95">
        <f t="shared" si="0"/>
        <v>158.964</v>
      </c>
      <c r="E39" s="96">
        <v>102.4</v>
      </c>
      <c r="F39" s="97">
        <v>0</v>
      </c>
      <c r="G39" s="96">
        <v>2.964</v>
      </c>
      <c r="H39" s="97">
        <v>0</v>
      </c>
      <c r="I39" s="99">
        <v>53.6</v>
      </c>
      <c r="J39" s="54">
        <v>-663.88984000000005</v>
      </c>
      <c r="L39" s="20"/>
      <c r="M39" s="20"/>
      <c r="O39" s="25"/>
    </row>
    <row r="40" spans="1:15" x14ac:dyDescent="0.25">
      <c r="A40" s="73">
        <v>33</v>
      </c>
      <c r="B40" s="35" t="s">
        <v>156</v>
      </c>
      <c r="C40" s="51">
        <v>153</v>
      </c>
      <c r="D40" s="95">
        <f t="shared" si="0"/>
        <v>-718.8</v>
      </c>
      <c r="E40" s="96">
        <v>-573.5</v>
      </c>
      <c r="F40" s="97">
        <v>0</v>
      </c>
      <c r="G40" s="98">
        <v>5</v>
      </c>
      <c r="H40" s="97">
        <v>0</v>
      </c>
      <c r="I40" s="96">
        <v>-150.30000000000001</v>
      </c>
      <c r="J40" s="54">
        <v>43.077460000000002</v>
      </c>
      <c r="L40" s="20"/>
      <c r="M40" s="20"/>
      <c r="O40" s="25"/>
    </row>
    <row r="41" spans="1:15" ht="30" x14ac:dyDescent="0.25">
      <c r="A41" s="73">
        <v>34</v>
      </c>
      <c r="B41" s="35" t="s">
        <v>157</v>
      </c>
      <c r="C41" s="51">
        <v>201</v>
      </c>
      <c r="D41" s="95">
        <f t="shared" si="0"/>
        <v>-2408.24674</v>
      </c>
      <c r="E41" s="96">
        <v>-2463.9</v>
      </c>
      <c r="F41" s="97">
        <v>0</v>
      </c>
      <c r="G41" s="98">
        <v>9.5532599999999999</v>
      </c>
      <c r="H41" s="97">
        <v>0</v>
      </c>
      <c r="I41" s="96">
        <v>46.1</v>
      </c>
      <c r="J41" s="54">
        <v>-2289.7579900000001</v>
      </c>
      <c r="L41" s="20"/>
      <c r="M41" s="20"/>
      <c r="O41" s="25"/>
    </row>
    <row r="42" spans="1:15" x14ac:dyDescent="0.25">
      <c r="A42" s="73">
        <v>35</v>
      </c>
      <c r="B42" s="35" t="s">
        <v>158</v>
      </c>
      <c r="C42" s="51">
        <f>140+52</f>
        <v>192</v>
      </c>
      <c r="D42" s="95">
        <f t="shared" si="0"/>
        <v>-527.97057000000007</v>
      </c>
      <c r="E42" s="96">
        <v>-974.1</v>
      </c>
      <c r="F42" s="97">
        <v>0</v>
      </c>
      <c r="G42" s="95">
        <v>459.22942999999998</v>
      </c>
      <c r="H42" s="97">
        <v>0</v>
      </c>
      <c r="I42" s="99">
        <v>-13.1</v>
      </c>
      <c r="J42" s="54">
        <v>-1047.3676800000001</v>
      </c>
      <c r="L42" s="20"/>
      <c r="M42" s="20"/>
      <c r="O42" s="25"/>
    </row>
    <row r="43" spans="1:15" ht="30" x14ac:dyDescent="0.25">
      <c r="A43" s="73">
        <v>36</v>
      </c>
      <c r="B43" s="35" t="s">
        <v>159</v>
      </c>
      <c r="C43" s="51">
        <f>93+22</f>
        <v>115</v>
      </c>
      <c r="D43" s="95">
        <f t="shared" si="0"/>
        <v>-2698.6750599999996</v>
      </c>
      <c r="E43" s="96">
        <v>-2874.1</v>
      </c>
      <c r="F43" s="97">
        <v>0</v>
      </c>
      <c r="G43" s="99">
        <v>168.12494000000001</v>
      </c>
      <c r="H43" s="97">
        <v>0</v>
      </c>
      <c r="I43" s="99">
        <v>7.3</v>
      </c>
      <c r="J43" s="54">
        <v>-1989.8682699999999</v>
      </c>
      <c r="L43" s="20"/>
      <c r="M43" s="20"/>
      <c r="O43" s="25"/>
    </row>
    <row r="44" spans="1:15" ht="30" x14ac:dyDescent="0.25">
      <c r="A44" s="73">
        <v>37</v>
      </c>
      <c r="B44" s="35" t="s">
        <v>160</v>
      </c>
      <c r="C44" s="51">
        <v>579</v>
      </c>
      <c r="D44" s="95">
        <f t="shared" si="0"/>
        <v>-1917.0162700000001</v>
      </c>
      <c r="E44" s="96">
        <v>-2343.8000000000002</v>
      </c>
      <c r="F44" s="97">
        <v>0</v>
      </c>
      <c r="G44" s="99">
        <v>432.28372999999999</v>
      </c>
      <c r="H44" s="97">
        <v>0</v>
      </c>
      <c r="I44" s="99">
        <v>-5.5</v>
      </c>
      <c r="J44" s="54">
        <v>-188.04452000000001</v>
      </c>
      <c r="L44" s="20"/>
      <c r="M44" s="20"/>
      <c r="O44" s="25"/>
    </row>
    <row r="45" spans="1:15" x14ac:dyDescent="0.25">
      <c r="A45" s="73">
        <v>38</v>
      </c>
      <c r="B45" s="35" t="s">
        <v>161</v>
      </c>
      <c r="C45" s="51">
        <v>209</v>
      </c>
      <c r="D45" s="95">
        <f t="shared" si="0"/>
        <v>-458.80289999999997</v>
      </c>
      <c r="E45" s="96">
        <v>-388.4</v>
      </c>
      <c r="F45" s="97">
        <v>0</v>
      </c>
      <c r="G45" s="99">
        <v>-70.402899999999988</v>
      </c>
      <c r="H45" s="97">
        <v>0</v>
      </c>
      <c r="I45" s="99">
        <v>0</v>
      </c>
      <c r="J45" s="54">
        <v>-1662.8625500000001</v>
      </c>
      <c r="L45" s="20"/>
      <c r="M45" s="20"/>
      <c r="O45" s="25"/>
    </row>
    <row r="46" spans="1:15" x14ac:dyDescent="0.25">
      <c r="A46" s="73">
        <v>39</v>
      </c>
      <c r="B46" s="35" t="s">
        <v>162</v>
      </c>
      <c r="C46" s="51">
        <f>384+19</f>
        <v>403</v>
      </c>
      <c r="D46" s="95">
        <f t="shared" si="0"/>
        <v>-3651.2234299999996</v>
      </c>
      <c r="E46" s="96">
        <v>-4915.8999999999996</v>
      </c>
      <c r="F46" s="97">
        <v>0</v>
      </c>
      <c r="G46" s="99">
        <v>1243.0765700000002</v>
      </c>
      <c r="H46" s="97">
        <v>0</v>
      </c>
      <c r="I46" s="101">
        <v>21.6</v>
      </c>
      <c r="J46" s="54">
        <v>-2447.80861</v>
      </c>
      <c r="L46" s="20"/>
      <c r="M46" s="20"/>
      <c r="O46" s="25"/>
    </row>
    <row r="47" spans="1:15" x14ac:dyDescent="0.25">
      <c r="A47" s="73">
        <v>40</v>
      </c>
      <c r="B47" s="35" t="s">
        <v>163</v>
      </c>
      <c r="C47" s="51">
        <v>587</v>
      </c>
      <c r="D47" s="95">
        <f t="shared" si="0"/>
        <v>-4050.1820399999997</v>
      </c>
      <c r="E47" s="96">
        <v>-4604.7</v>
      </c>
      <c r="F47" s="97">
        <v>0</v>
      </c>
      <c r="G47" s="99">
        <v>554.51796000000002</v>
      </c>
      <c r="H47" s="97">
        <v>0</v>
      </c>
      <c r="I47" s="99">
        <v>0</v>
      </c>
      <c r="J47" s="54">
        <v>-1356.5363</v>
      </c>
      <c r="L47" s="20"/>
      <c r="M47" s="20"/>
      <c r="O47" s="25"/>
    </row>
    <row r="48" spans="1:15" x14ac:dyDescent="0.25">
      <c r="A48" s="73">
        <v>41</v>
      </c>
      <c r="B48" s="35" t="s">
        <v>164</v>
      </c>
      <c r="C48" s="51">
        <v>585</v>
      </c>
      <c r="D48" s="95">
        <f t="shared" si="0"/>
        <v>-10683.559639999999</v>
      </c>
      <c r="E48" s="96">
        <v>-22104.799999999999</v>
      </c>
      <c r="F48" s="97">
        <v>0</v>
      </c>
      <c r="G48" s="99">
        <v>11421.24036</v>
      </c>
      <c r="H48" s="97">
        <v>0</v>
      </c>
      <c r="I48" s="101">
        <v>0</v>
      </c>
      <c r="J48" s="54">
        <v>-9586.1713099999997</v>
      </c>
      <c r="L48" s="21"/>
      <c r="M48" s="20"/>
      <c r="O48" s="25"/>
    </row>
    <row r="49" spans="1:15" x14ac:dyDescent="0.25">
      <c r="A49" s="73">
        <v>42</v>
      </c>
      <c r="B49" s="35" t="s">
        <v>165</v>
      </c>
      <c r="C49" s="51">
        <f>163+70</f>
        <v>233</v>
      </c>
      <c r="D49" s="95">
        <f t="shared" si="0"/>
        <v>-1057.0528499999998</v>
      </c>
      <c r="E49" s="100">
        <v>-1353</v>
      </c>
      <c r="F49" s="97">
        <v>0</v>
      </c>
      <c r="G49" s="99">
        <v>293.54715000000004</v>
      </c>
      <c r="H49" s="97">
        <v>0</v>
      </c>
      <c r="I49" s="101">
        <v>2.4</v>
      </c>
      <c r="J49" s="54">
        <v>-5074.0931799999998</v>
      </c>
      <c r="L49" s="20"/>
      <c r="M49" s="20"/>
      <c r="O49" s="25"/>
    </row>
    <row r="50" spans="1:15" x14ac:dyDescent="0.25">
      <c r="A50" s="73">
        <v>43</v>
      </c>
      <c r="B50" s="35" t="s">
        <v>166</v>
      </c>
      <c r="C50" s="51">
        <f>182+58</f>
        <v>240</v>
      </c>
      <c r="D50" s="95">
        <f t="shared" si="0"/>
        <v>353.76426000000004</v>
      </c>
      <c r="E50" s="96">
        <v>147</v>
      </c>
      <c r="F50" s="97">
        <v>0</v>
      </c>
      <c r="G50" s="99">
        <v>227.26426000000001</v>
      </c>
      <c r="H50" s="97">
        <v>0</v>
      </c>
      <c r="I50" s="99">
        <v>-20.5</v>
      </c>
      <c r="J50" s="54">
        <v>-2649.4146000000001</v>
      </c>
      <c r="L50" s="20"/>
      <c r="M50" s="20"/>
      <c r="O50" s="25"/>
    </row>
    <row r="51" spans="1:15" x14ac:dyDescent="0.25">
      <c r="A51" s="73">
        <v>44</v>
      </c>
      <c r="B51" s="35" t="s">
        <v>167</v>
      </c>
      <c r="C51" s="51">
        <f>42+17</f>
        <v>59</v>
      </c>
      <c r="D51" s="95">
        <f t="shared" si="0"/>
        <v>80.769439999999975</v>
      </c>
      <c r="E51" s="96">
        <v>-161.6</v>
      </c>
      <c r="F51" s="97">
        <v>0</v>
      </c>
      <c r="G51" s="99">
        <v>259.26943999999997</v>
      </c>
      <c r="H51" s="97">
        <v>0</v>
      </c>
      <c r="I51" s="99">
        <v>-16.899999999999999</v>
      </c>
      <c r="J51" s="54">
        <v>-604.86041999999998</v>
      </c>
      <c r="L51" s="21"/>
      <c r="M51" s="20"/>
      <c r="O51" s="25"/>
    </row>
    <row r="52" spans="1:15" x14ac:dyDescent="0.25">
      <c r="A52" s="73">
        <v>45</v>
      </c>
      <c r="B52" s="35" t="s">
        <v>168</v>
      </c>
      <c r="C52" s="51">
        <f>121+55</f>
        <v>176</v>
      </c>
      <c r="D52" s="95">
        <f t="shared" si="0"/>
        <v>-614.5326</v>
      </c>
      <c r="E52" s="96">
        <v>-841.5</v>
      </c>
      <c r="F52" s="97">
        <v>0</v>
      </c>
      <c r="G52" s="99">
        <v>292.66740000000004</v>
      </c>
      <c r="H52" s="97">
        <v>0</v>
      </c>
      <c r="I52" s="99">
        <v>-65.7</v>
      </c>
      <c r="J52" s="54">
        <v>-3622.8820099999998</v>
      </c>
      <c r="L52" s="20"/>
      <c r="M52" s="20"/>
      <c r="O52" s="25"/>
    </row>
    <row r="53" spans="1:15" x14ac:dyDescent="0.25">
      <c r="A53" s="73">
        <v>46</v>
      </c>
      <c r="B53" s="35" t="s">
        <v>169</v>
      </c>
      <c r="C53" s="51">
        <v>273</v>
      </c>
      <c r="D53" s="95">
        <f t="shared" si="0"/>
        <v>-670.5883</v>
      </c>
      <c r="E53" s="96">
        <v>-726.7</v>
      </c>
      <c r="F53" s="97">
        <v>0</v>
      </c>
      <c r="G53" s="99">
        <v>80.111699999999999</v>
      </c>
      <c r="H53" s="97">
        <v>0</v>
      </c>
      <c r="I53" s="99">
        <v>-24</v>
      </c>
      <c r="J53" s="54">
        <v>126.02566</v>
      </c>
      <c r="L53" s="20"/>
      <c r="M53" s="20"/>
      <c r="O53" s="25"/>
    </row>
    <row r="54" spans="1:15" x14ac:dyDescent="0.25">
      <c r="A54" s="73">
        <v>47</v>
      </c>
      <c r="B54" s="35" t="s">
        <v>170</v>
      </c>
      <c r="C54" s="51">
        <v>205</v>
      </c>
      <c r="D54" s="95">
        <f t="shared" si="0"/>
        <v>-3998.6057699999997</v>
      </c>
      <c r="E54" s="96">
        <v>-3940.6</v>
      </c>
      <c r="F54" s="97">
        <v>0</v>
      </c>
      <c r="G54" s="99">
        <v>-41.805769999999995</v>
      </c>
      <c r="H54" s="97">
        <v>0</v>
      </c>
      <c r="I54" s="99">
        <v>-16.2</v>
      </c>
      <c r="J54" s="54">
        <v>-1175.6564800000001</v>
      </c>
      <c r="L54" s="20"/>
      <c r="M54" s="20"/>
      <c r="O54" s="25"/>
    </row>
    <row r="55" spans="1:15" x14ac:dyDescent="0.25">
      <c r="A55" s="73">
        <v>48</v>
      </c>
      <c r="B55" s="35" t="s">
        <v>171</v>
      </c>
      <c r="C55" s="51">
        <v>406</v>
      </c>
      <c r="D55" s="95">
        <f t="shared" si="0"/>
        <v>-6526.9249999999993</v>
      </c>
      <c r="E55" s="96">
        <v>-7766.9</v>
      </c>
      <c r="F55" s="97">
        <v>0</v>
      </c>
      <c r="G55" s="99">
        <v>593.17499999999995</v>
      </c>
      <c r="H55" s="97">
        <v>0</v>
      </c>
      <c r="I55" s="99">
        <v>646.79999999999995</v>
      </c>
      <c r="J55" s="54">
        <v>-5437.12327</v>
      </c>
      <c r="L55" s="20"/>
      <c r="M55" s="20"/>
      <c r="O55" s="25"/>
    </row>
    <row r="56" spans="1:15" x14ac:dyDescent="0.25">
      <c r="A56" s="73">
        <v>49</v>
      </c>
      <c r="B56" s="35" t="s">
        <v>172</v>
      </c>
      <c r="C56" s="51">
        <f>70+20</f>
        <v>90</v>
      </c>
      <c r="D56" s="95">
        <f t="shared" si="0"/>
        <v>-375.29344000000003</v>
      </c>
      <c r="E56" s="96">
        <v>-407.6</v>
      </c>
      <c r="F56" s="97">
        <v>0</v>
      </c>
      <c r="G56" s="99">
        <v>57.606559999999995</v>
      </c>
      <c r="H56" s="97">
        <v>0</v>
      </c>
      <c r="I56" s="99">
        <v>-25.3</v>
      </c>
      <c r="J56" s="54">
        <v>902.61258999999995</v>
      </c>
      <c r="L56" s="20"/>
      <c r="M56" s="20"/>
      <c r="O56" s="25"/>
    </row>
    <row r="57" spans="1:15" x14ac:dyDescent="0.25">
      <c r="A57" s="73">
        <v>50</v>
      </c>
      <c r="B57" s="35" t="s">
        <v>173</v>
      </c>
      <c r="C57" s="51">
        <v>165</v>
      </c>
      <c r="D57" s="95">
        <f t="shared" si="0"/>
        <v>-971.95399999999984</v>
      </c>
      <c r="E57" s="96">
        <v>-1676.3</v>
      </c>
      <c r="F57" s="97">
        <v>0</v>
      </c>
      <c r="G57" s="99">
        <v>526.44600000000003</v>
      </c>
      <c r="H57" s="97">
        <v>0</v>
      </c>
      <c r="I57" s="99">
        <v>177.9</v>
      </c>
      <c r="J57" s="54">
        <v>-1561.4716000000001</v>
      </c>
      <c r="L57" s="21"/>
      <c r="M57" s="20"/>
      <c r="O57" s="25"/>
    </row>
    <row r="58" spans="1:15" x14ac:dyDescent="0.25">
      <c r="A58" s="73">
        <v>51</v>
      </c>
      <c r="B58" s="35" t="s">
        <v>174</v>
      </c>
      <c r="C58" s="51">
        <f>55+13</f>
        <v>68</v>
      </c>
      <c r="D58" s="95">
        <f t="shared" si="0"/>
        <v>-2362.8549400000002</v>
      </c>
      <c r="E58" s="96">
        <v>-2366.8000000000002</v>
      </c>
      <c r="F58" s="97">
        <v>0</v>
      </c>
      <c r="G58" s="99">
        <v>65.145060000000001</v>
      </c>
      <c r="H58" s="97">
        <v>0</v>
      </c>
      <c r="I58" s="99">
        <v>-61.2</v>
      </c>
      <c r="J58" s="54">
        <v>-922.99352999999996</v>
      </c>
      <c r="L58" s="21"/>
      <c r="M58" s="20"/>
      <c r="O58" s="25"/>
    </row>
    <row r="59" spans="1:15" x14ac:dyDescent="0.25">
      <c r="A59" s="73">
        <v>52</v>
      </c>
      <c r="B59" s="35" t="s">
        <v>175</v>
      </c>
      <c r="C59" s="51">
        <f>86+18</f>
        <v>104</v>
      </c>
      <c r="D59" s="95">
        <f t="shared" si="0"/>
        <v>-1417.3626999999999</v>
      </c>
      <c r="E59" s="96">
        <v>-1392.4</v>
      </c>
      <c r="F59" s="97">
        <v>0</v>
      </c>
      <c r="G59" s="99">
        <v>46.137300000000003</v>
      </c>
      <c r="H59" s="97">
        <v>0</v>
      </c>
      <c r="I59" s="99">
        <v>-71.099999999999994</v>
      </c>
      <c r="J59" s="54">
        <v>-1482.4482499999999</v>
      </c>
      <c r="L59" s="21"/>
      <c r="M59" s="20"/>
      <c r="O59" s="25"/>
    </row>
    <row r="60" spans="1:15" x14ac:dyDescent="0.25">
      <c r="A60" s="73">
        <v>53</v>
      </c>
      <c r="B60" s="35" t="s">
        <v>176</v>
      </c>
      <c r="C60" s="51">
        <v>249</v>
      </c>
      <c r="D60" s="95">
        <f t="shared" si="0"/>
        <v>-3460.0382599999998</v>
      </c>
      <c r="E60" s="96">
        <v>-3872.4</v>
      </c>
      <c r="F60" s="97">
        <v>0</v>
      </c>
      <c r="G60" s="99">
        <v>392.06173999999999</v>
      </c>
      <c r="H60" s="97">
        <v>0</v>
      </c>
      <c r="I60" s="99">
        <v>20.3</v>
      </c>
      <c r="J60" s="54">
        <v>6315.8941000000004</v>
      </c>
      <c r="L60" s="21"/>
      <c r="M60" s="20"/>
      <c r="O60" s="25"/>
    </row>
    <row r="61" spans="1:15" x14ac:dyDescent="0.25">
      <c r="A61" s="73">
        <v>54</v>
      </c>
      <c r="B61" s="35" t="s">
        <v>177</v>
      </c>
      <c r="C61" s="51">
        <f>112+36</f>
        <v>148</v>
      </c>
      <c r="D61" s="95">
        <f t="shared" si="0"/>
        <v>-1339.7632599999999</v>
      </c>
      <c r="E61" s="96">
        <v>-1505.6</v>
      </c>
      <c r="F61" s="97">
        <v>0</v>
      </c>
      <c r="G61" s="99">
        <v>217.13674</v>
      </c>
      <c r="H61" s="97">
        <v>0</v>
      </c>
      <c r="I61" s="99">
        <v>-51.3</v>
      </c>
      <c r="J61" s="54">
        <v>-1820.69955</v>
      </c>
      <c r="L61" s="21"/>
      <c r="M61" s="20"/>
      <c r="O61" s="25"/>
    </row>
    <row r="62" spans="1:15" x14ac:dyDescent="0.25">
      <c r="A62" s="73">
        <v>55</v>
      </c>
      <c r="B62" s="35" t="s">
        <v>178</v>
      </c>
      <c r="C62" s="51">
        <f>227+82</f>
        <v>309</v>
      </c>
      <c r="D62" s="95">
        <f t="shared" si="0"/>
        <v>-779.06502000000012</v>
      </c>
      <c r="E62" s="96">
        <v>-1217.7</v>
      </c>
      <c r="F62" s="97">
        <v>0</v>
      </c>
      <c r="G62" s="99">
        <v>527.23497999999995</v>
      </c>
      <c r="H62" s="97">
        <v>0</v>
      </c>
      <c r="I62" s="99">
        <v>-88.6</v>
      </c>
      <c r="J62" s="54">
        <v>-2605.0769700000001</v>
      </c>
      <c r="L62" s="21"/>
      <c r="M62" s="20"/>
      <c r="O62" s="25"/>
    </row>
    <row r="63" spans="1:15" x14ac:dyDescent="0.25">
      <c r="A63" s="73">
        <v>56</v>
      </c>
      <c r="B63" s="35" t="s">
        <v>179</v>
      </c>
      <c r="C63" s="51">
        <v>275</v>
      </c>
      <c r="D63" s="95">
        <f t="shared" si="0"/>
        <v>-1248.01496</v>
      </c>
      <c r="E63" s="100">
        <v>-1361.6</v>
      </c>
      <c r="F63" s="97">
        <v>0</v>
      </c>
      <c r="G63" s="99">
        <v>119.08503999999999</v>
      </c>
      <c r="H63" s="97">
        <v>0</v>
      </c>
      <c r="I63" s="99">
        <v>-5.5</v>
      </c>
      <c r="J63" s="54">
        <v>-3888.1067400000002</v>
      </c>
      <c r="L63" s="21"/>
      <c r="M63" s="20"/>
      <c r="O63" s="25"/>
    </row>
    <row r="64" spans="1:15" x14ac:dyDescent="0.25">
      <c r="A64" s="73">
        <v>57</v>
      </c>
      <c r="B64" s="35" t="s">
        <v>180</v>
      </c>
      <c r="C64" s="51">
        <f>326+9</f>
        <v>335</v>
      </c>
      <c r="D64" s="95">
        <f t="shared" si="0"/>
        <v>-1350.9379200000017</v>
      </c>
      <c r="E64" s="96">
        <v>-23745.599999999999</v>
      </c>
      <c r="F64" s="97">
        <v>0</v>
      </c>
      <c r="G64" s="99">
        <v>22360.762079999997</v>
      </c>
      <c r="H64" s="97">
        <v>0</v>
      </c>
      <c r="I64" s="99">
        <v>33.9</v>
      </c>
      <c r="J64" s="54">
        <v>-3200.6073099999999</v>
      </c>
      <c r="L64" s="21"/>
      <c r="M64" s="20"/>
      <c r="O64" s="25"/>
    </row>
    <row r="65" spans="1:15" x14ac:dyDescent="0.25">
      <c r="A65" s="73">
        <v>58</v>
      </c>
      <c r="B65" s="35" t="s">
        <v>181</v>
      </c>
      <c r="C65" s="51">
        <f>161+66</f>
        <v>227</v>
      </c>
      <c r="D65" s="95">
        <f t="shared" si="0"/>
        <v>-3972.68615</v>
      </c>
      <c r="E65" s="96">
        <v>-3870.8</v>
      </c>
      <c r="F65" s="97">
        <v>0</v>
      </c>
      <c r="G65" s="99">
        <v>58.713850000000001</v>
      </c>
      <c r="H65" s="97">
        <v>0</v>
      </c>
      <c r="I65" s="99">
        <v>-160.6</v>
      </c>
      <c r="J65" s="54">
        <v>-1907.54964</v>
      </c>
      <c r="L65" s="21"/>
      <c r="M65" s="20"/>
      <c r="O65" s="25"/>
    </row>
    <row r="66" spans="1:15" x14ac:dyDescent="0.25">
      <c r="A66" s="73">
        <v>59</v>
      </c>
      <c r="B66" s="35" t="s">
        <v>182</v>
      </c>
      <c r="C66" s="51">
        <f>136+26</f>
        <v>162</v>
      </c>
      <c r="D66" s="95">
        <f t="shared" si="0"/>
        <v>-1616.6239199999998</v>
      </c>
      <c r="E66" s="96">
        <v>-1991.8</v>
      </c>
      <c r="F66" s="97">
        <v>0</v>
      </c>
      <c r="G66" s="99">
        <v>330.97608000000002</v>
      </c>
      <c r="H66" s="97">
        <v>0</v>
      </c>
      <c r="I66" s="99">
        <v>44.2</v>
      </c>
      <c r="J66" s="54">
        <v>4446.6933900000004</v>
      </c>
      <c r="L66" s="21"/>
      <c r="M66" s="20"/>
      <c r="O66" s="25"/>
    </row>
    <row r="67" spans="1:15" x14ac:dyDescent="0.25">
      <c r="A67" s="73">
        <v>60</v>
      </c>
      <c r="B67" s="35" t="s">
        <v>183</v>
      </c>
      <c r="C67" s="51">
        <f>38+22</f>
        <v>60</v>
      </c>
      <c r="D67" s="95">
        <f t="shared" si="0"/>
        <v>-1876.2626499999999</v>
      </c>
      <c r="E67" s="95">
        <v>-2590.5</v>
      </c>
      <c r="F67" s="97">
        <v>0</v>
      </c>
      <c r="G67" s="95">
        <v>711.03734999999995</v>
      </c>
      <c r="H67" s="97">
        <v>0</v>
      </c>
      <c r="I67" s="95">
        <v>3.2</v>
      </c>
      <c r="J67" s="54">
        <v>254.18681000000001</v>
      </c>
      <c r="L67" s="21"/>
      <c r="M67" s="20"/>
      <c r="O67" s="25"/>
    </row>
    <row r="68" spans="1:15" x14ac:dyDescent="0.25">
      <c r="A68" s="73">
        <v>61</v>
      </c>
      <c r="B68" s="35" t="s">
        <v>184</v>
      </c>
      <c r="C68" s="51">
        <v>166</v>
      </c>
      <c r="D68" s="95">
        <f t="shared" si="0"/>
        <v>-928.06541000000004</v>
      </c>
      <c r="E68" s="96">
        <v>-986.3</v>
      </c>
      <c r="F68" s="97">
        <v>0</v>
      </c>
      <c r="G68" s="99">
        <v>65.43459</v>
      </c>
      <c r="H68" s="97">
        <v>0</v>
      </c>
      <c r="I68" s="99">
        <v>-7.2</v>
      </c>
      <c r="J68" s="54">
        <v>-1336.3612499999999</v>
      </c>
      <c r="L68" s="21"/>
      <c r="M68" s="20"/>
      <c r="O68" s="25"/>
    </row>
    <row r="69" spans="1:15" x14ac:dyDescent="0.25">
      <c r="A69" s="73">
        <v>62</v>
      </c>
      <c r="B69" s="35" t="s">
        <v>185</v>
      </c>
      <c r="C69" s="51">
        <v>936</v>
      </c>
      <c r="D69" s="95">
        <f t="shared" si="0"/>
        <v>243.77999999999997</v>
      </c>
      <c r="E69" s="96">
        <v>38.4</v>
      </c>
      <c r="F69" s="97">
        <v>0</v>
      </c>
      <c r="G69" s="98">
        <v>4.68</v>
      </c>
      <c r="H69" s="97">
        <v>0</v>
      </c>
      <c r="I69" s="96">
        <v>200.7</v>
      </c>
      <c r="J69" s="54">
        <v>-929.21281999999997</v>
      </c>
      <c r="L69" s="21"/>
      <c r="M69" s="20"/>
      <c r="O69" s="25"/>
    </row>
    <row r="70" spans="1:15" x14ac:dyDescent="0.25">
      <c r="A70" s="73">
        <v>63</v>
      </c>
      <c r="B70" s="35" t="s">
        <v>186</v>
      </c>
      <c r="C70" s="51">
        <v>600</v>
      </c>
      <c r="D70" s="95">
        <f t="shared" si="0"/>
        <v>74.061340000000001</v>
      </c>
      <c r="E70" s="96">
        <v>-2.4</v>
      </c>
      <c r="F70" s="97">
        <v>0</v>
      </c>
      <c r="G70" s="99">
        <v>48.46134</v>
      </c>
      <c r="H70" s="97">
        <v>0</v>
      </c>
      <c r="I70" s="99">
        <v>28</v>
      </c>
      <c r="J70" s="54">
        <v>144.23847000000001</v>
      </c>
      <c r="L70" s="21"/>
      <c r="M70" s="20"/>
      <c r="O70" s="25"/>
    </row>
    <row r="71" spans="1:15" x14ac:dyDescent="0.25">
      <c r="A71" s="73">
        <v>64</v>
      </c>
      <c r="B71" s="35" t="s">
        <v>187</v>
      </c>
      <c r="C71" s="51">
        <v>569</v>
      </c>
      <c r="D71" s="95">
        <f t="shared" si="0"/>
        <v>-78.900000000000006</v>
      </c>
      <c r="E71" s="96">
        <v>-191.4</v>
      </c>
      <c r="F71" s="97">
        <v>0</v>
      </c>
      <c r="G71" s="99">
        <v>93</v>
      </c>
      <c r="H71" s="97">
        <v>0</v>
      </c>
      <c r="I71" s="99">
        <v>19.5</v>
      </c>
      <c r="J71" s="54">
        <v>156.91247000000001</v>
      </c>
      <c r="L71" s="21"/>
      <c r="M71" s="20"/>
      <c r="O71" s="25"/>
    </row>
    <row r="72" spans="1:15" x14ac:dyDescent="0.25">
      <c r="A72" s="73">
        <v>65</v>
      </c>
      <c r="B72" s="35" t="s">
        <v>188</v>
      </c>
      <c r="C72" s="51">
        <v>346</v>
      </c>
      <c r="D72" s="95">
        <f t="shared" si="0"/>
        <v>56.9</v>
      </c>
      <c r="E72" s="96">
        <v>6.9</v>
      </c>
      <c r="F72" s="97">
        <v>0</v>
      </c>
      <c r="G72" s="99">
        <v>50</v>
      </c>
      <c r="H72" s="97">
        <v>0</v>
      </c>
      <c r="I72" s="99">
        <v>0</v>
      </c>
      <c r="J72" s="54">
        <v>-287.81495000000001</v>
      </c>
      <c r="L72" s="21"/>
      <c r="M72" s="20"/>
      <c r="O72" s="25"/>
    </row>
    <row r="73" spans="1:15" x14ac:dyDescent="0.25">
      <c r="A73" s="73">
        <v>66</v>
      </c>
      <c r="B73" s="35" t="s">
        <v>189</v>
      </c>
      <c r="C73" s="51">
        <v>0</v>
      </c>
      <c r="D73" s="95">
        <f t="shared" ref="D73:D77" si="1">E73+F73+G73+H73+I73</f>
        <v>0</v>
      </c>
      <c r="E73" s="96">
        <v>0</v>
      </c>
      <c r="F73" s="97">
        <v>0</v>
      </c>
      <c r="G73" s="99">
        <v>0</v>
      </c>
      <c r="H73" s="97">
        <v>0</v>
      </c>
      <c r="I73" s="99">
        <v>0</v>
      </c>
      <c r="J73" s="54">
        <v>-0.5</v>
      </c>
      <c r="L73" s="21"/>
      <c r="M73" s="20"/>
      <c r="O73" s="25"/>
    </row>
    <row r="74" spans="1:15" x14ac:dyDescent="0.25">
      <c r="A74" s="73">
        <v>67</v>
      </c>
      <c r="B74" s="35" t="s">
        <v>190</v>
      </c>
      <c r="C74" s="51">
        <v>238</v>
      </c>
      <c r="D74" s="95">
        <f t="shared" si="1"/>
        <v>-789.4</v>
      </c>
      <c r="E74" s="96">
        <v>-1054.5</v>
      </c>
      <c r="F74" s="97">
        <v>0</v>
      </c>
      <c r="G74" s="98">
        <v>390</v>
      </c>
      <c r="H74" s="97">
        <v>0</v>
      </c>
      <c r="I74" s="99">
        <v>-124.9</v>
      </c>
      <c r="J74" s="54">
        <v>278.99317000000002</v>
      </c>
      <c r="L74" s="21"/>
      <c r="M74" s="20"/>
      <c r="O74" s="25"/>
    </row>
    <row r="75" spans="1:15" x14ac:dyDescent="0.25">
      <c r="A75" s="73">
        <v>68</v>
      </c>
      <c r="B75" s="35" t="s">
        <v>191</v>
      </c>
      <c r="C75" s="51">
        <v>238</v>
      </c>
      <c r="D75" s="95">
        <f t="shared" si="1"/>
        <v>-20.7</v>
      </c>
      <c r="E75" s="96">
        <v>-21.9</v>
      </c>
      <c r="F75" s="97">
        <v>0</v>
      </c>
      <c r="G75" s="99">
        <v>1.2</v>
      </c>
      <c r="H75" s="97">
        <v>0</v>
      </c>
      <c r="I75" s="96">
        <v>0</v>
      </c>
      <c r="J75" s="54">
        <v>-69.520200000000003</v>
      </c>
      <c r="L75" s="21"/>
      <c r="M75" s="20"/>
      <c r="O75" s="25"/>
    </row>
    <row r="76" spans="1:15" x14ac:dyDescent="0.25">
      <c r="A76" s="73">
        <v>69</v>
      </c>
      <c r="B76" s="35" t="s">
        <v>192</v>
      </c>
      <c r="C76" s="51">
        <v>694</v>
      </c>
      <c r="D76" s="95">
        <f t="shared" si="1"/>
        <v>-95.1</v>
      </c>
      <c r="E76" s="96">
        <v>-95.1</v>
      </c>
      <c r="F76" s="97">
        <v>0</v>
      </c>
      <c r="G76" s="98">
        <v>0</v>
      </c>
      <c r="H76" s="97">
        <v>0</v>
      </c>
      <c r="I76" s="99">
        <v>0</v>
      </c>
      <c r="J76" s="54">
        <v>-215.30635000000001</v>
      </c>
      <c r="L76" s="21"/>
      <c r="M76" s="20"/>
      <c r="O76" s="25"/>
    </row>
    <row r="77" spans="1:15" x14ac:dyDescent="0.25">
      <c r="A77" s="73">
        <v>70</v>
      </c>
      <c r="B77" s="35" t="s">
        <v>193</v>
      </c>
      <c r="C77" s="51">
        <v>415</v>
      </c>
      <c r="D77" s="95">
        <f t="shared" si="1"/>
        <v>2044.84</v>
      </c>
      <c r="E77" s="96">
        <v>1949.5</v>
      </c>
      <c r="F77" s="97">
        <v>0</v>
      </c>
      <c r="G77" s="96">
        <v>95.34</v>
      </c>
      <c r="H77" s="97">
        <v>0</v>
      </c>
      <c r="I77" s="96">
        <v>0</v>
      </c>
      <c r="J77" s="54">
        <v>-3259.6803</v>
      </c>
      <c r="L77" s="21"/>
      <c r="M77" s="20"/>
      <c r="O77" s="25"/>
    </row>
    <row r="78" spans="1:15" ht="45" x14ac:dyDescent="0.25">
      <c r="A78" s="73">
        <v>71</v>
      </c>
      <c r="B78" s="34" t="s">
        <v>79</v>
      </c>
      <c r="C78" s="51">
        <v>182952</v>
      </c>
      <c r="D78" s="48">
        <f>E78+F78+G78+H78+I78</f>
        <v>-5022.1699999999992</v>
      </c>
      <c r="E78" s="48">
        <v>-5028.25</v>
      </c>
      <c r="F78" s="48">
        <v>0</v>
      </c>
      <c r="G78" s="48">
        <v>21.02</v>
      </c>
      <c r="H78" s="48">
        <v>0</v>
      </c>
      <c r="I78" s="48">
        <v>-14.94</v>
      </c>
      <c r="J78" s="48">
        <v>-4214.6099999999997</v>
      </c>
      <c r="L78" s="19"/>
      <c r="M78" s="20"/>
      <c r="O78" s="25"/>
    </row>
    <row r="79" spans="1:15" ht="30" x14ac:dyDescent="0.25">
      <c r="A79" s="73">
        <v>72</v>
      </c>
      <c r="B79" s="34" t="s">
        <v>80</v>
      </c>
      <c r="C79" s="51" t="s">
        <v>104</v>
      </c>
      <c r="D79" s="48">
        <f t="shared" ref="D79:D95" si="2">E79+F79+G79+H79+I79</f>
        <v>-424.27000000000004</v>
      </c>
      <c r="E79" s="48">
        <v>-645.73</v>
      </c>
      <c r="F79" s="48">
        <v>0</v>
      </c>
      <c r="G79" s="48">
        <v>223.62</v>
      </c>
      <c r="H79" s="48">
        <v>0</v>
      </c>
      <c r="I79" s="48">
        <v>-2.16</v>
      </c>
      <c r="J79" s="48">
        <v>-101.79</v>
      </c>
      <c r="L79" s="19"/>
      <c r="M79" s="20"/>
      <c r="O79" s="25"/>
    </row>
    <row r="80" spans="1:15" ht="30" x14ac:dyDescent="0.25">
      <c r="A80" s="73">
        <v>73</v>
      </c>
      <c r="B80" s="34" t="s">
        <v>81</v>
      </c>
      <c r="C80" s="51" t="s">
        <v>105</v>
      </c>
      <c r="D80" s="48">
        <f t="shared" si="2"/>
        <v>59.17000000000003</v>
      </c>
      <c r="E80" s="48">
        <v>-209.16</v>
      </c>
      <c r="F80" s="48">
        <v>0</v>
      </c>
      <c r="G80" s="48">
        <v>270.47000000000003</v>
      </c>
      <c r="H80" s="48">
        <v>0</v>
      </c>
      <c r="I80" s="48">
        <v>-2.14</v>
      </c>
      <c r="J80" s="48">
        <v>-159.87</v>
      </c>
      <c r="L80" s="19"/>
      <c r="M80" s="20"/>
      <c r="O80" s="25"/>
    </row>
    <row r="81" spans="1:15" ht="30" x14ac:dyDescent="0.25">
      <c r="A81" s="73">
        <v>74</v>
      </c>
      <c r="B81" s="34" t="s">
        <v>82</v>
      </c>
      <c r="C81" s="51" t="s">
        <v>106</v>
      </c>
      <c r="D81" s="48">
        <f t="shared" si="2"/>
        <v>-131.4</v>
      </c>
      <c r="E81" s="48">
        <v>-235.63</v>
      </c>
      <c r="F81" s="48">
        <v>0</v>
      </c>
      <c r="G81" s="48">
        <v>108.78</v>
      </c>
      <c r="H81" s="48">
        <v>0</v>
      </c>
      <c r="I81" s="48">
        <v>-4.55</v>
      </c>
      <c r="J81" s="48">
        <v>-362.59</v>
      </c>
      <c r="L81" s="19"/>
      <c r="M81" s="20"/>
      <c r="O81" s="25"/>
    </row>
    <row r="82" spans="1:15" ht="30" x14ac:dyDescent="0.25">
      <c r="A82" s="73">
        <v>75</v>
      </c>
      <c r="B82" s="34" t="s">
        <v>83</v>
      </c>
      <c r="C82" s="51" t="s">
        <v>107</v>
      </c>
      <c r="D82" s="48">
        <f t="shared" si="2"/>
        <v>650.24</v>
      </c>
      <c r="E82" s="48">
        <v>586.62</v>
      </c>
      <c r="F82" s="48">
        <v>0</v>
      </c>
      <c r="G82" s="48">
        <v>69.739999999999995</v>
      </c>
      <c r="H82" s="48">
        <v>0</v>
      </c>
      <c r="I82" s="48">
        <v>-6.12</v>
      </c>
      <c r="J82" s="48">
        <v>-1179.3399999999999</v>
      </c>
      <c r="L82" s="19"/>
      <c r="M82" s="20"/>
      <c r="O82" s="25"/>
    </row>
    <row r="83" spans="1:15" ht="30" x14ac:dyDescent="0.25">
      <c r="A83" s="73">
        <v>76</v>
      </c>
      <c r="B83" s="34" t="s">
        <v>84</v>
      </c>
      <c r="C83" s="51" t="s">
        <v>108</v>
      </c>
      <c r="D83" s="48">
        <f t="shared" si="2"/>
        <v>-903.51</v>
      </c>
      <c r="E83" s="48">
        <v>-1178.22</v>
      </c>
      <c r="F83" s="48">
        <v>0</v>
      </c>
      <c r="G83" s="48">
        <v>277.86</v>
      </c>
      <c r="H83" s="48">
        <v>0</v>
      </c>
      <c r="I83" s="48">
        <v>-3.15</v>
      </c>
      <c r="J83" s="48">
        <v>40.479999999999997</v>
      </c>
      <c r="L83" s="19"/>
      <c r="M83" s="20"/>
      <c r="O83" s="25"/>
    </row>
    <row r="84" spans="1:15" ht="45" x14ac:dyDescent="0.25">
      <c r="A84" s="73">
        <v>77</v>
      </c>
      <c r="B84" s="34" t="s">
        <v>85</v>
      </c>
      <c r="C84" s="51" t="s">
        <v>109</v>
      </c>
      <c r="D84" s="48">
        <f t="shared" si="2"/>
        <v>-2325.34</v>
      </c>
      <c r="E84" s="48">
        <v>-2965.92</v>
      </c>
      <c r="F84" s="48">
        <v>0</v>
      </c>
      <c r="G84" s="48">
        <v>640.58000000000004</v>
      </c>
      <c r="H84" s="48">
        <v>0</v>
      </c>
      <c r="I84" s="48">
        <v>0</v>
      </c>
      <c r="J84" s="48">
        <v>-24.25</v>
      </c>
      <c r="L84" s="19"/>
      <c r="M84" s="20"/>
      <c r="O84" s="25"/>
    </row>
    <row r="85" spans="1:15" ht="30" x14ac:dyDescent="0.25">
      <c r="A85" s="73">
        <v>78</v>
      </c>
      <c r="B85" s="34" t="s">
        <v>94</v>
      </c>
      <c r="C85" s="51" t="s">
        <v>110</v>
      </c>
      <c r="D85" s="48">
        <f t="shared" si="2"/>
        <v>-744.00999999999988</v>
      </c>
      <c r="E85" s="48">
        <v>-1287.0999999999999</v>
      </c>
      <c r="F85" s="48">
        <v>0</v>
      </c>
      <c r="G85" s="48">
        <v>543.59</v>
      </c>
      <c r="H85" s="48">
        <v>0</v>
      </c>
      <c r="I85" s="48">
        <v>-0.5</v>
      </c>
      <c r="J85" s="48">
        <v>-186.57</v>
      </c>
      <c r="L85" s="19"/>
      <c r="M85" s="20"/>
      <c r="O85" s="25"/>
    </row>
    <row r="86" spans="1:15" ht="30" x14ac:dyDescent="0.25">
      <c r="A86" s="73">
        <v>79</v>
      </c>
      <c r="B86" s="34" t="s">
        <v>86</v>
      </c>
      <c r="C86" s="51" t="s">
        <v>111</v>
      </c>
      <c r="D86" s="48">
        <f t="shared" si="2"/>
        <v>-1717.16</v>
      </c>
      <c r="E86" s="48">
        <v>-2527.65</v>
      </c>
      <c r="F86" s="48">
        <v>0</v>
      </c>
      <c r="G86" s="48">
        <v>938.78</v>
      </c>
      <c r="H86" s="48">
        <v>0</v>
      </c>
      <c r="I86" s="48">
        <v>-128.29</v>
      </c>
      <c r="J86" s="48">
        <v>786.99</v>
      </c>
      <c r="L86" s="19"/>
      <c r="M86" s="20"/>
      <c r="O86" s="25"/>
    </row>
    <row r="87" spans="1:15" ht="30" x14ac:dyDescent="0.25">
      <c r="A87" s="73">
        <v>80</v>
      </c>
      <c r="B87" s="34" t="s">
        <v>87</v>
      </c>
      <c r="C87" s="51" t="s">
        <v>112</v>
      </c>
      <c r="D87" s="48">
        <f t="shared" si="2"/>
        <v>-539.1</v>
      </c>
      <c r="E87" s="48">
        <v>-688.7</v>
      </c>
      <c r="F87" s="48">
        <v>0</v>
      </c>
      <c r="G87" s="48">
        <v>149.6</v>
      </c>
      <c r="H87" s="48">
        <v>0</v>
      </c>
      <c r="I87" s="48">
        <v>0</v>
      </c>
      <c r="J87" s="48">
        <v>114.94</v>
      </c>
      <c r="L87" s="19"/>
      <c r="M87" s="20"/>
      <c r="O87" s="25"/>
    </row>
    <row r="88" spans="1:15" ht="30" x14ac:dyDescent="0.25">
      <c r="A88" s="73">
        <v>81</v>
      </c>
      <c r="B88" s="34" t="s">
        <v>88</v>
      </c>
      <c r="C88" s="51" t="s">
        <v>113</v>
      </c>
      <c r="D88" s="48">
        <f t="shared" si="2"/>
        <v>63.43</v>
      </c>
      <c r="E88" s="48">
        <v>30.39</v>
      </c>
      <c r="F88" s="48">
        <v>0</v>
      </c>
      <c r="G88" s="48">
        <v>33.04</v>
      </c>
      <c r="H88" s="48">
        <v>0</v>
      </c>
      <c r="I88" s="48">
        <v>0</v>
      </c>
      <c r="J88" s="48">
        <v>-94.58</v>
      </c>
      <c r="L88" s="19"/>
      <c r="M88" s="20"/>
      <c r="O88" s="25"/>
    </row>
    <row r="89" spans="1:15" ht="30" x14ac:dyDescent="0.25">
      <c r="A89" s="73">
        <v>82</v>
      </c>
      <c r="B89" s="34" t="s">
        <v>89</v>
      </c>
      <c r="C89" s="51" t="s">
        <v>114</v>
      </c>
      <c r="D89" s="48">
        <f t="shared" si="2"/>
        <v>-80.840000000000018</v>
      </c>
      <c r="E89" s="48">
        <v>-342.42</v>
      </c>
      <c r="F89" s="48">
        <v>0</v>
      </c>
      <c r="G89" s="48">
        <v>249.32</v>
      </c>
      <c r="H89" s="48">
        <v>0</v>
      </c>
      <c r="I89" s="48">
        <v>12.26</v>
      </c>
      <c r="J89" s="48">
        <v>-826.49</v>
      </c>
      <c r="L89" s="21"/>
      <c r="M89" s="20"/>
      <c r="O89" s="25"/>
    </row>
    <row r="90" spans="1:15" ht="30" x14ac:dyDescent="0.25">
      <c r="A90" s="73">
        <v>83</v>
      </c>
      <c r="B90" s="34" t="s">
        <v>103</v>
      </c>
      <c r="C90" s="51" t="s">
        <v>115</v>
      </c>
      <c r="D90" s="48">
        <f t="shared" si="2"/>
        <v>-267.49</v>
      </c>
      <c r="E90" s="48">
        <v>-260.3</v>
      </c>
      <c r="F90" s="48">
        <v>0</v>
      </c>
      <c r="G90" s="48">
        <v>-7.19</v>
      </c>
      <c r="H90" s="48">
        <v>0</v>
      </c>
      <c r="I90" s="48">
        <v>0</v>
      </c>
      <c r="J90" s="48">
        <v>0</v>
      </c>
      <c r="L90" s="20"/>
      <c r="M90" s="20"/>
      <c r="O90" s="25"/>
    </row>
    <row r="91" spans="1:15" ht="45" x14ac:dyDescent="0.25">
      <c r="A91" s="73">
        <v>84</v>
      </c>
      <c r="B91" s="34" t="s">
        <v>90</v>
      </c>
      <c r="C91" s="51" t="s">
        <v>116</v>
      </c>
      <c r="D91" s="48">
        <f t="shared" si="2"/>
        <v>-96.399999999999977</v>
      </c>
      <c r="E91" s="48">
        <v>9.7200000000000006</v>
      </c>
      <c r="F91" s="48">
        <v>0</v>
      </c>
      <c r="G91" s="48">
        <v>133.52000000000001</v>
      </c>
      <c r="H91" s="48">
        <v>0</v>
      </c>
      <c r="I91" s="48">
        <v>-239.64</v>
      </c>
      <c r="J91" s="48">
        <v>449.73</v>
      </c>
      <c r="L91" s="20"/>
      <c r="M91" s="20"/>
      <c r="O91" s="25"/>
    </row>
    <row r="92" spans="1:15" ht="45" x14ac:dyDescent="0.25">
      <c r="A92" s="73">
        <v>85</v>
      </c>
      <c r="B92" s="35" t="s">
        <v>91</v>
      </c>
      <c r="C92" s="51" t="s">
        <v>117</v>
      </c>
      <c r="D92" s="48">
        <f t="shared" si="2"/>
        <v>-741.21</v>
      </c>
      <c r="E92" s="48">
        <v>-870.41</v>
      </c>
      <c r="F92" s="48">
        <v>0</v>
      </c>
      <c r="G92" s="48">
        <v>0</v>
      </c>
      <c r="H92" s="48">
        <v>0</v>
      </c>
      <c r="I92" s="48">
        <v>129.19999999999999</v>
      </c>
      <c r="J92" s="48">
        <v>-1417.5</v>
      </c>
      <c r="L92" s="19"/>
      <c r="M92" s="20"/>
      <c r="O92" s="25"/>
    </row>
    <row r="93" spans="1:15" ht="45" x14ac:dyDescent="0.25">
      <c r="A93" s="73">
        <v>86</v>
      </c>
      <c r="B93" s="34" t="s">
        <v>92</v>
      </c>
      <c r="C93" s="51" t="s">
        <v>118</v>
      </c>
      <c r="D93" s="48">
        <f t="shared" si="2"/>
        <v>15.509999999999991</v>
      </c>
      <c r="E93" s="48">
        <v>-203.59</v>
      </c>
      <c r="F93" s="48">
        <v>0</v>
      </c>
      <c r="G93" s="48">
        <v>122.8</v>
      </c>
      <c r="H93" s="48">
        <v>0</v>
      </c>
      <c r="I93" s="48">
        <v>96.3</v>
      </c>
      <c r="J93" s="48">
        <v>-394.27</v>
      </c>
      <c r="L93" s="19"/>
      <c r="M93" s="20"/>
      <c r="O93" s="25"/>
    </row>
    <row r="94" spans="1:15" ht="45" x14ac:dyDescent="0.25">
      <c r="A94" s="73">
        <v>87</v>
      </c>
      <c r="B94" s="34" t="s">
        <v>93</v>
      </c>
      <c r="C94" s="51" t="s">
        <v>119</v>
      </c>
      <c r="D94" s="48">
        <f t="shared" si="2"/>
        <v>475.53</v>
      </c>
      <c r="E94" s="48">
        <v>366.44</v>
      </c>
      <c r="F94" s="48">
        <v>0</v>
      </c>
      <c r="G94" s="48">
        <v>0</v>
      </c>
      <c r="H94" s="48">
        <v>0</v>
      </c>
      <c r="I94" s="48">
        <v>109.09</v>
      </c>
      <c r="J94" s="48">
        <v>-212.81</v>
      </c>
      <c r="L94" s="19"/>
      <c r="M94" s="20"/>
    </row>
    <row r="95" spans="1:15" x14ac:dyDescent="0.25">
      <c r="A95" s="73">
        <v>88</v>
      </c>
      <c r="B95" s="34" t="s">
        <v>96</v>
      </c>
      <c r="C95" s="51">
        <v>50</v>
      </c>
      <c r="D95" s="48">
        <f t="shared" si="2"/>
        <v>-445.6099999999999</v>
      </c>
      <c r="E95" s="48">
        <v>-2865.93</v>
      </c>
      <c r="F95" s="48">
        <v>0</v>
      </c>
      <c r="G95" s="48">
        <v>2301.08</v>
      </c>
      <c r="H95" s="48">
        <v>0</v>
      </c>
      <c r="I95" s="48">
        <v>119.24</v>
      </c>
      <c r="J95" s="48">
        <v>1404.09</v>
      </c>
      <c r="L95" s="19"/>
      <c r="M95" s="20"/>
      <c r="O95" s="25"/>
    </row>
    <row r="96" spans="1:15" ht="30.75" customHeight="1" x14ac:dyDescent="0.25">
      <c r="A96" s="23"/>
      <c r="B96" s="36" t="s">
        <v>18</v>
      </c>
      <c r="C96" s="40"/>
      <c r="D96" s="52">
        <f t="shared" ref="D96:J96" si="3">SUM(D8:D95)</f>
        <v>-130318.25718999997</v>
      </c>
      <c r="E96" s="52">
        <f t="shared" si="3"/>
        <v>-204007.43999999997</v>
      </c>
      <c r="F96" s="52">
        <f t="shared" si="3"/>
        <v>0</v>
      </c>
      <c r="G96" s="52">
        <f t="shared" si="3"/>
        <v>72040.582810000022</v>
      </c>
      <c r="H96" s="52">
        <f t="shared" si="3"/>
        <v>0</v>
      </c>
      <c r="I96" s="52">
        <f t="shared" si="3"/>
        <v>1648.6000000000004</v>
      </c>
      <c r="J96" s="52">
        <f t="shared" si="3"/>
        <v>-173301.40632499984</v>
      </c>
      <c r="L96" s="20"/>
      <c r="M96" s="20"/>
      <c r="O96" s="25"/>
    </row>
    <row r="97" spans="3:15" x14ac:dyDescent="0.25">
      <c r="D97" s="53"/>
      <c r="E97" s="53"/>
      <c r="F97" s="53"/>
      <c r="G97" s="53"/>
      <c r="H97" s="53"/>
      <c r="I97" s="53"/>
      <c r="J97" s="53"/>
      <c r="O97" s="25"/>
    </row>
    <row r="98" spans="3:15" x14ac:dyDescent="0.25">
      <c r="C98" s="24"/>
      <c r="D98" s="53"/>
      <c r="E98" s="53"/>
      <c r="F98" s="53"/>
      <c r="G98" s="53"/>
      <c r="H98" s="53"/>
      <c r="I98" s="53"/>
      <c r="J98" s="53"/>
    </row>
    <row r="99" spans="3:15" x14ac:dyDescent="0.25">
      <c r="E99" s="25"/>
    </row>
    <row r="100" spans="3:15" x14ac:dyDescent="0.25">
      <c r="D100" s="44"/>
    </row>
    <row r="103" spans="3:15" x14ac:dyDescent="0.25">
      <c r="D103" s="44"/>
    </row>
    <row r="104" spans="3:15" x14ac:dyDescent="0.25">
      <c r="D104" s="44"/>
    </row>
  </sheetData>
  <mergeCells count="8">
    <mergeCell ref="C2:H2"/>
    <mergeCell ref="A4:A7"/>
    <mergeCell ref="B4:B7"/>
    <mergeCell ref="C4:C7"/>
    <mergeCell ref="D4:J4"/>
    <mergeCell ref="D5:D7"/>
    <mergeCell ref="E5:I6"/>
    <mergeCell ref="J5:J7"/>
  </mergeCells>
  <pageMargins left="0.15748031496062992" right="0.15748031496062992" top="0.27559055118110237" bottom="0.27559055118110237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97"/>
  <sheetViews>
    <sheetView view="pageBreakPreview" zoomScale="85" zoomScaleNormal="80" zoomScaleSheetLayoutView="85" workbookViewId="0">
      <pane xSplit="2" ySplit="6" topLeftCell="C89" activePane="bottomRight" state="frozen"/>
      <selection activeCell="A8" sqref="A8:A75"/>
      <selection pane="topRight" activeCell="A8" sqref="A8:A75"/>
      <selection pane="bottomLeft" activeCell="A8" sqref="A8:A75"/>
      <selection pane="bottomRight" activeCell="J77" sqref="J77"/>
    </sheetView>
  </sheetViews>
  <sheetFormatPr defaultRowHeight="15" x14ac:dyDescent="0.25"/>
  <cols>
    <col min="1" max="1" width="5.42578125" style="3" customWidth="1"/>
    <col min="2" max="2" width="45.85546875" style="3" customWidth="1"/>
    <col min="3" max="3" width="11.5703125" style="3" customWidth="1"/>
    <col min="4" max="4" width="17" style="3" customWidth="1"/>
    <col min="5" max="5" width="16.5703125" style="3" customWidth="1"/>
    <col min="6" max="6" width="15.85546875" style="3" customWidth="1"/>
    <col min="7" max="7" width="18.140625" style="3" customWidth="1"/>
    <col min="8" max="8" width="12.140625" style="3" customWidth="1"/>
    <col min="9" max="9" width="16.140625" style="3" customWidth="1"/>
    <col min="10" max="10" width="17.28515625" style="3" customWidth="1"/>
    <col min="11" max="11" width="13.5703125" style="3" customWidth="1"/>
    <col min="12" max="12" width="18.140625" style="3" bestFit="1" customWidth="1"/>
    <col min="13" max="13" width="12.5703125" style="3" customWidth="1"/>
    <col min="14" max="14" width="13.7109375" style="3" bestFit="1" customWidth="1"/>
    <col min="15" max="15" width="14.85546875" style="3" bestFit="1" customWidth="1"/>
    <col min="16" max="16" width="22.7109375" style="3" customWidth="1"/>
    <col min="17" max="16384" width="9.140625" style="3"/>
  </cols>
  <sheetData>
    <row r="1" spans="1:17" x14ac:dyDescent="0.25">
      <c r="O1" s="4" t="s">
        <v>29</v>
      </c>
    </row>
    <row r="2" spans="1:17" ht="39" customHeight="1" x14ac:dyDescent="0.25">
      <c r="D2" s="157" t="s">
        <v>99</v>
      </c>
      <c r="E2" s="157"/>
      <c r="F2" s="157"/>
      <c r="G2" s="157"/>
      <c r="H2" s="157"/>
      <c r="I2" s="157"/>
      <c r="J2" s="157"/>
    </row>
    <row r="5" spans="1:17" s="74" customFormat="1" x14ac:dyDescent="0.25">
      <c r="A5" s="166" t="s">
        <v>20</v>
      </c>
      <c r="B5" s="166" t="s">
        <v>30</v>
      </c>
      <c r="C5" s="166" t="s">
        <v>31</v>
      </c>
      <c r="D5" s="166" t="s">
        <v>32</v>
      </c>
      <c r="E5" s="166" t="s">
        <v>33</v>
      </c>
      <c r="F5" s="166" t="s">
        <v>34</v>
      </c>
      <c r="G5" s="166" t="s">
        <v>35</v>
      </c>
      <c r="H5" s="166"/>
      <c r="I5" s="166"/>
      <c r="J5" s="166"/>
      <c r="K5" s="166" t="s">
        <v>36</v>
      </c>
      <c r="L5" s="166" t="s">
        <v>37</v>
      </c>
      <c r="M5" s="166"/>
      <c r="N5" s="166"/>
      <c r="O5" s="166"/>
    </row>
    <row r="6" spans="1:17" s="74" customFormat="1" ht="89.25" customHeight="1" x14ac:dyDescent="0.25">
      <c r="A6" s="166"/>
      <c r="B6" s="166"/>
      <c r="C6" s="166"/>
      <c r="D6" s="166"/>
      <c r="E6" s="166"/>
      <c r="F6" s="166"/>
      <c r="G6" s="73" t="s">
        <v>38</v>
      </c>
      <c r="H6" s="73" t="s">
        <v>39</v>
      </c>
      <c r="I6" s="73" t="s">
        <v>40</v>
      </c>
      <c r="J6" s="73" t="s">
        <v>15</v>
      </c>
      <c r="K6" s="166"/>
      <c r="L6" s="73" t="s">
        <v>41</v>
      </c>
      <c r="M6" s="73" t="s">
        <v>39</v>
      </c>
      <c r="N6" s="73" t="s">
        <v>40</v>
      </c>
      <c r="O6" s="73" t="s">
        <v>15</v>
      </c>
    </row>
    <row r="7" spans="1:17" ht="30" x14ac:dyDescent="0.25">
      <c r="A7" s="73">
        <v>1</v>
      </c>
      <c r="B7" s="32" t="s">
        <v>124</v>
      </c>
      <c r="C7" s="103">
        <v>42.3</v>
      </c>
      <c r="D7" s="104">
        <v>29088</v>
      </c>
      <c r="E7" s="104">
        <v>42808</v>
      </c>
      <c r="F7" s="55">
        <f t="shared" ref="F7:F38" si="0">E7/D7</f>
        <v>1.4716721672167217</v>
      </c>
      <c r="G7" s="108">
        <v>12231.855949999999</v>
      </c>
      <c r="H7" s="108">
        <v>274.14888000000002</v>
      </c>
      <c r="I7" s="108">
        <v>2423.7330000000002</v>
      </c>
      <c r="J7" s="108">
        <f>SUM(G7:I7)</f>
        <v>14929.73783</v>
      </c>
      <c r="K7" s="48">
        <f>J7/'Форма 1'!R8</f>
        <v>0.58711352882511991</v>
      </c>
      <c r="L7" s="108">
        <v>3681.5050999999999</v>
      </c>
      <c r="M7" s="108">
        <v>82.79298</v>
      </c>
      <c r="N7" s="108">
        <v>731.96699999999998</v>
      </c>
      <c r="O7" s="107">
        <f>SUM(L7:N7)</f>
        <v>4496.2650800000001</v>
      </c>
      <c r="P7" s="39"/>
      <c r="Q7" s="26"/>
    </row>
    <row r="8" spans="1:17" ht="30" x14ac:dyDescent="0.25">
      <c r="A8" s="73">
        <v>2</v>
      </c>
      <c r="B8" s="32" t="s">
        <v>125</v>
      </c>
      <c r="C8" s="103">
        <v>30.1</v>
      </c>
      <c r="D8" s="104">
        <v>27434</v>
      </c>
      <c r="E8" s="104">
        <v>41042</v>
      </c>
      <c r="F8" s="55">
        <f t="shared" si="0"/>
        <v>1.4960268280236204</v>
      </c>
      <c r="G8" s="108">
        <v>8671.2722599999997</v>
      </c>
      <c r="H8" s="109">
        <v>0</v>
      </c>
      <c r="I8" s="108">
        <v>1401.2260000000001</v>
      </c>
      <c r="J8" s="108">
        <f t="shared" ref="J8:J21" si="1">SUM(G8:I8)</f>
        <v>10072.49826</v>
      </c>
      <c r="K8" s="48">
        <f>J8/'Форма 1'!R9</f>
        <v>0.61458605059659488</v>
      </c>
      <c r="L8" s="108">
        <v>2618.72048</v>
      </c>
      <c r="M8" s="109">
        <v>0</v>
      </c>
      <c r="N8" s="108">
        <v>423.17399999999998</v>
      </c>
      <c r="O8" s="107">
        <f>SUM(L8:N8)</f>
        <v>3041.8944799999999</v>
      </c>
      <c r="P8" s="39"/>
      <c r="Q8" s="26"/>
    </row>
    <row r="9" spans="1:17" ht="30" x14ac:dyDescent="0.25">
      <c r="A9" s="73">
        <v>3</v>
      </c>
      <c r="B9" s="32" t="s">
        <v>126</v>
      </c>
      <c r="C9" s="103">
        <v>34.799999999999997</v>
      </c>
      <c r="D9" s="104">
        <v>31221</v>
      </c>
      <c r="E9" s="104">
        <v>46175</v>
      </c>
      <c r="F9" s="55">
        <f t="shared" si="0"/>
        <v>1.4789724864674418</v>
      </c>
      <c r="G9" s="108">
        <v>11127.91567</v>
      </c>
      <c r="H9" s="109">
        <v>0</v>
      </c>
      <c r="I9" s="108">
        <v>2089.4140000000002</v>
      </c>
      <c r="J9" s="108">
        <f t="shared" si="1"/>
        <v>13217.329670000001</v>
      </c>
      <c r="K9" s="48">
        <f>J9/'Форма 1'!R10</f>
        <v>0.58970102659623025</v>
      </c>
      <c r="L9" s="108">
        <v>3361.5055600000001</v>
      </c>
      <c r="M9" s="109">
        <v>0</v>
      </c>
      <c r="N9" s="108">
        <v>631.00599999999997</v>
      </c>
      <c r="O9" s="107">
        <f t="shared" ref="O9:O71" si="2">SUM(L9:N9)</f>
        <v>3992.5115599999999</v>
      </c>
      <c r="P9" s="39"/>
      <c r="Q9" s="26"/>
    </row>
    <row r="10" spans="1:17" ht="30" x14ac:dyDescent="0.25">
      <c r="A10" s="73">
        <v>4</v>
      </c>
      <c r="B10" s="32" t="s">
        <v>127</v>
      </c>
      <c r="C10" s="103">
        <v>33.200000000000003</v>
      </c>
      <c r="D10" s="104">
        <v>26827</v>
      </c>
      <c r="E10" s="104">
        <v>43958</v>
      </c>
      <c r="F10" s="55">
        <f t="shared" si="0"/>
        <v>1.6385730793603459</v>
      </c>
      <c r="G10" s="108">
        <v>9184.1284400000004</v>
      </c>
      <c r="H10" s="109">
        <v>0</v>
      </c>
      <c r="I10" s="110">
        <v>1709.2739999999999</v>
      </c>
      <c r="J10" s="108">
        <f t="shared" si="1"/>
        <v>10893.40244</v>
      </c>
      <c r="K10" s="48">
        <f>J10/'Форма 1'!R11</f>
        <v>0.57749978226735232</v>
      </c>
      <c r="L10" s="110">
        <v>2768.7405100000001</v>
      </c>
      <c r="M10" s="108">
        <v>0</v>
      </c>
      <c r="N10" s="110">
        <v>516.19640000000004</v>
      </c>
      <c r="O10" s="107">
        <f t="shared" si="2"/>
        <v>3284.9369100000004</v>
      </c>
      <c r="P10" s="39"/>
      <c r="Q10" s="26"/>
    </row>
    <row r="11" spans="1:17" ht="30" x14ac:dyDescent="0.25">
      <c r="A11" s="73">
        <v>5</v>
      </c>
      <c r="B11" s="32" t="s">
        <v>128</v>
      </c>
      <c r="C11" s="105">
        <v>23</v>
      </c>
      <c r="D11" s="119">
        <v>32992</v>
      </c>
      <c r="E11" s="106">
        <v>51683</v>
      </c>
      <c r="F11" s="55">
        <f t="shared" si="0"/>
        <v>1.5665312803103784</v>
      </c>
      <c r="G11" s="110">
        <v>7516.21252</v>
      </c>
      <c r="H11" s="110">
        <v>130.04400000000001</v>
      </c>
      <c r="I11" s="110">
        <v>1683.8023700000001</v>
      </c>
      <c r="J11" s="108">
        <f t="shared" si="1"/>
        <v>9330.0588900000002</v>
      </c>
      <c r="K11" s="48">
        <f>J11/'Форма 1'!R12</f>
        <v>0.27909462039693189</v>
      </c>
      <c r="L11" s="108">
        <v>2269.8750399999999</v>
      </c>
      <c r="M11" s="108">
        <v>39.28266</v>
      </c>
      <c r="N11" s="108">
        <v>508.52003000000002</v>
      </c>
      <c r="O11" s="107">
        <f>SUM(L11:N11)</f>
        <v>2817.6777299999999</v>
      </c>
      <c r="P11" s="39"/>
      <c r="Q11" s="26"/>
    </row>
    <row r="12" spans="1:17" ht="30" x14ac:dyDescent="0.25">
      <c r="A12" s="73">
        <v>6</v>
      </c>
      <c r="B12" s="32" t="s">
        <v>129</v>
      </c>
      <c r="C12" s="103">
        <v>65.3</v>
      </c>
      <c r="D12" s="104">
        <v>33641</v>
      </c>
      <c r="E12" s="104">
        <v>70092</v>
      </c>
      <c r="F12" s="55">
        <f t="shared" si="0"/>
        <v>2.0835290270800511</v>
      </c>
      <c r="G12" s="108">
        <v>22317.589970000001</v>
      </c>
      <c r="H12" s="108">
        <v>481.95949000000002</v>
      </c>
      <c r="I12" s="110">
        <v>3998.5650000000001</v>
      </c>
      <c r="J12" s="108">
        <f t="shared" si="1"/>
        <v>26798.114460000001</v>
      </c>
      <c r="K12" s="48">
        <f>J12/'Форма 1'!R13</f>
        <v>0.61647469219958761</v>
      </c>
      <c r="L12" s="108">
        <v>6725.7669599999999</v>
      </c>
      <c r="M12" s="108">
        <v>145.55174</v>
      </c>
      <c r="N12" s="108">
        <v>1207.5662</v>
      </c>
      <c r="O12" s="107">
        <f t="shared" si="2"/>
        <v>8078.8849</v>
      </c>
      <c r="P12" s="39"/>
      <c r="Q12" s="26"/>
    </row>
    <row r="13" spans="1:17" ht="30" x14ac:dyDescent="0.25">
      <c r="A13" s="73">
        <v>7</v>
      </c>
      <c r="B13" s="32" t="s">
        <v>130</v>
      </c>
      <c r="C13" s="103">
        <v>53.9</v>
      </c>
      <c r="D13" s="104">
        <v>28789</v>
      </c>
      <c r="E13" s="104">
        <v>57508</v>
      </c>
      <c r="F13" s="55">
        <f t="shared" si="0"/>
        <v>1.9975685157525445</v>
      </c>
      <c r="G13" s="110">
        <v>16483.3</v>
      </c>
      <c r="H13" s="109">
        <v>0</v>
      </c>
      <c r="I13" s="108">
        <v>2482.3220000000001</v>
      </c>
      <c r="J13" s="108">
        <f t="shared" si="1"/>
        <v>18965.621999999999</v>
      </c>
      <c r="K13" s="48">
        <f>J13/'Форма 1'!R14</f>
        <v>0.59753171872856836</v>
      </c>
      <c r="L13" s="108">
        <v>4952.0317699999996</v>
      </c>
      <c r="M13" s="109">
        <v>0</v>
      </c>
      <c r="N13" s="108">
        <v>749.65959999999995</v>
      </c>
      <c r="O13" s="107">
        <f>SUM(L13:N13)</f>
        <v>5701.6913699999996</v>
      </c>
      <c r="P13" s="39"/>
      <c r="Q13" s="26"/>
    </row>
    <row r="14" spans="1:17" ht="15.75" x14ac:dyDescent="0.25">
      <c r="A14" s="73">
        <v>8</v>
      </c>
      <c r="B14" s="32" t="s">
        <v>131</v>
      </c>
      <c r="C14" s="103">
        <v>94.9</v>
      </c>
      <c r="D14" s="104">
        <v>42997</v>
      </c>
      <c r="E14" s="104">
        <v>78950</v>
      </c>
      <c r="F14" s="55">
        <f t="shared" si="0"/>
        <v>1.8361746168337325</v>
      </c>
      <c r="G14" s="108">
        <v>44507.895510000002</v>
      </c>
      <c r="H14" s="108">
        <v>108.01458</v>
      </c>
      <c r="I14" s="108">
        <v>4780.7147999999997</v>
      </c>
      <c r="J14" s="108">
        <f t="shared" si="1"/>
        <v>49396.624890000006</v>
      </c>
      <c r="K14" s="48">
        <f>J14/'Форма 1'!R15</f>
        <v>0.56205160795483999</v>
      </c>
      <c r="L14" s="108">
        <v>13440.5996</v>
      </c>
      <c r="M14" s="109">
        <v>32.620420000000003</v>
      </c>
      <c r="N14" s="108">
        <v>1443.5038</v>
      </c>
      <c r="O14" s="107">
        <f t="shared" si="2"/>
        <v>14916.723819999999</v>
      </c>
      <c r="P14" s="39"/>
      <c r="Q14" s="26"/>
    </row>
    <row r="15" spans="1:17" ht="15.75" x14ac:dyDescent="0.25">
      <c r="A15" s="73">
        <v>9</v>
      </c>
      <c r="B15" s="32" t="s">
        <v>132</v>
      </c>
      <c r="C15" s="103">
        <v>53.5</v>
      </c>
      <c r="D15" s="104">
        <v>37122</v>
      </c>
      <c r="E15" s="104">
        <v>72016</v>
      </c>
      <c r="F15" s="55">
        <f t="shared" si="0"/>
        <v>1.9399816820214428</v>
      </c>
      <c r="G15" s="108">
        <v>22880.296470000001</v>
      </c>
      <c r="H15" s="109">
        <v>0</v>
      </c>
      <c r="I15" s="108">
        <v>1370.808</v>
      </c>
      <c r="J15" s="108">
        <f t="shared" si="1"/>
        <v>24251.104470000002</v>
      </c>
      <c r="K15" s="48">
        <f>J15/'Форма 1'!R16</f>
        <v>0.59563221138557632</v>
      </c>
      <c r="L15" s="108">
        <v>6909.37309</v>
      </c>
      <c r="M15" s="109">
        <v>0</v>
      </c>
      <c r="N15" s="108">
        <v>413.98320000000001</v>
      </c>
      <c r="O15" s="107">
        <f t="shared" si="2"/>
        <v>7323.3562899999997</v>
      </c>
      <c r="P15" s="39"/>
      <c r="Q15" s="26"/>
    </row>
    <row r="16" spans="1:17" ht="15.75" x14ac:dyDescent="0.25">
      <c r="A16" s="73">
        <v>10</v>
      </c>
      <c r="B16" s="32" t="s">
        <v>133</v>
      </c>
      <c r="C16" s="103">
        <v>55.7</v>
      </c>
      <c r="D16" s="104">
        <v>31826</v>
      </c>
      <c r="E16" s="104">
        <v>60116</v>
      </c>
      <c r="F16" s="55">
        <f t="shared" si="0"/>
        <v>1.8888958713001949</v>
      </c>
      <c r="G16" s="108">
        <v>19901.894339999999</v>
      </c>
      <c r="H16" s="109">
        <v>0</v>
      </c>
      <c r="I16" s="108">
        <v>1709.96704</v>
      </c>
      <c r="J16" s="108">
        <f t="shared" si="1"/>
        <v>21611.861379999998</v>
      </c>
      <c r="K16" s="48">
        <f>J16/'Форма 1'!R17</f>
        <v>0.52449379133979124</v>
      </c>
      <c r="L16" s="108">
        <v>6005.6090400000003</v>
      </c>
      <c r="M16" s="109">
        <v>0</v>
      </c>
      <c r="N16" s="108">
        <v>515.13315999999998</v>
      </c>
      <c r="O16" s="107">
        <f t="shared" si="2"/>
        <v>6520.7422000000006</v>
      </c>
      <c r="P16" s="39"/>
      <c r="Q16" s="26"/>
    </row>
    <row r="17" spans="1:17" ht="30" x14ac:dyDescent="0.25">
      <c r="A17" s="73">
        <v>11</v>
      </c>
      <c r="B17" s="32" t="s">
        <v>134</v>
      </c>
      <c r="C17" s="103">
        <v>45.2</v>
      </c>
      <c r="D17" s="104">
        <v>38085</v>
      </c>
      <c r="E17" s="104">
        <v>87891</v>
      </c>
      <c r="F17" s="55">
        <f t="shared" si="0"/>
        <v>2.3077589602205593</v>
      </c>
      <c r="G17" s="108">
        <v>19416.708879999998</v>
      </c>
      <c r="H17" s="109">
        <v>0</v>
      </c>
      <c r="I17" s="108">
        <v>1838.3344</v>
      </c>
      <c r="J17" s="108">
        <f>SUM(G17:I17)</f>
        <v>21255.043279999998</v>
      </c>
      <c r="K17" s="48">
        <f>J17/'Форма 1'!R18</f>
        <v>0.48779239692962245</v>
      </c>
      <c r="L17" s="108">
        <v>5859.4753300000002</v>
      </c>
      <c r="M17" s="109">
        <v>0</v>
      </c>
      <c r="N17" s="108">
        <v>555.17750000000001</v>
      </c>
      <c r="O17" s="107">
        <f t="shared" si="2"/>
        <v>6414.65283</v>
      </c>
      <c r="P17" s="39"/>
      <c r="Q17" s="26"/>
    </row>
    <row r="18" spans="1:17" ht="15.75" x14ac:dyDescent="0.25">
      <c r="A18" s="73">
        <v>12</v>
      </c>
      <c r="B18" s="32" t="s">
        <v>135</v>
      </c>
      <c r="C18" s="103">
        <v>57.5</v>
      </c>
      <c r="D18" s="104">
        <v>36469</v>
      </c>
      <c r="E18" s="104">
        <v>77142</v>
      </c>
      <c r="F18" s="55">
        <f t="shared" si="0"/>
        <v>2.1152759878252763</v>
      </c>
      <c r="G18" s="108">
        <v>23820.822939999998</v>
      </c>
      <c r="H18" s="109">
        <v>15.278359999999999</v>
      </c>
      <c r="I18" s="108">
        <v>1815.5157999999999</v>
      </c>
      <c r="J18" s="108">
        <f>SUM(G18:I18)</f>
        <v>25651.617099999999</v>
      </c>
      <c r="K18" s="48">
        <f>J18/'Форма 1'!R19</f>
        <v>0.59096596654618616</v>
      </c>
      <c r="L18" s="108">
        <v>7192.9792900000002</v>
      </c>
      <c r="M18" s="109">
        <v>5.5248400000000002</v>
      </c>
      <c r="N18" s="108">
        <v>548.28420000000006</v>
      </c>
      <c r="O18" s="107">
        <f t="shared" si="2"/>
        <v>7746.7883300000003</v>
      </c>
      <c r="P18" s="39"/>
      <c r="Q18" s="26"/>
    </row>
    <row r="19" spans="1:17" ht="15.75" x14ac:dyDescent="0.25">
      <c r="A19" s="73">
        <v>13</v>
      </c>
      <c r="B19" s="32" t="s">
        <v>136</v>
      </c>
      <c r="C19" s="103">
        <v>46.2</v>
      </c>
      <c r="D19" s="104">
        <v>40208</v>
      </c>
      <c r="E19" s="104">
        <v>77233</v>
      </c>
      <c r="F19" s="55">
        <f t="shared" si="0"/>
        <v>1.9208366494230005</v>
      </c>
      <c r="G19" s="108">
        <v>20616.81292</v>
      </c>
      <c r="H19" s="109">
        <v>0</v>
      </c>
      <c r="I19" s="108">
        <v>2118.8388</v>
      </c>
      <c r="J19" s="108">
        <f t="shared" si="1"/>
        <v>22735.651720000002</v>
      </c>
      <c r="K19" s="48">
        <f>J19/'Форма 1'!R20</f>
        <v>0.56519590763375682</v>
      </c>
      <c r="L19" s="108">
        <v>6223.8657899999998</v>
      </c>
      <c r="M19" s="109">
        <v>0</v>
      </c>
      <c r="N19" s="108">
        <v>639.88520000000005</v>
      </c>
      <c r="O19" s="107">
        <f t="shared" si="2"/>
        <v>6863.7509899999995</v>
      </c>
      <c r="P19" s="39"/>
      <c r="Q19" s="26"/>
    </row>
    <row r="20" spans="1:17" ht="15.75" x14ac:dyDescent="0.25">
      <c r="A20" s="73">
        <v>14</v>
      </c>
      <c r="B20" s="32" t="s">
        <v>137</v>
      </c>
      <c r="C20" s="103">
        <v>71.2</v>
      </c>
      <c r="D20" s="104">
        <v>38822</v>
      </c>
      <c r="E20" s="104">
        <v>83983</v>
      </c>
      <c r="F20" s="55">
        <f t="shared" si="0"/>
        <v>2.1632837051156559</v>
      </c>
      <c r="G20" s="108">
        <v>30457.863130000002</v>
      </c>
      <c r="H20" s="109">
        <v>0</v>
      </c>
      <c r="I20" s="108">
        <v>3253.7285999999999</v>
      </c>
      <c r="J20" s="108">
        <f t="shared" si="1"/>
        <v>33711.59173</v>
      </c>
      <c r="K20" s="48">
        <f>J20/'Форма 1'!R21</f>
        <v>0.57767341631788194</v>
      </c>
      <c r="L20" s="108">
        <v>9193.8472999999994</v>
      </c>
      <c r="M20" s="109">
        <v>0</v>
      </c>
      <c r="N20" s="108">
        <v>982.62599999999998</v>
      </c>
      <c r="O20" s="107">
        <f t="shared" si="2"/>
        <v>10176.4733</v>
      </c>
      <c r="P20" s="39"/>
      <c r="Q20" s="26"/>
    </row>
    <row r="21" spans="1:17" ht="30" x14ac:dyDescent="0.25">
      <c r="A21" s="73">
        <v>15</v>
      </c>
      <c r="B21" s="32" t="s">
        <v>138</v>
      </c>
      <c r="C21" s="103">
        <v>81.400000000000006</v>
      </c>
      <c r="D21" s="104">
        <v>37295</v>
      </c>
      <c r="E21" s="104">
        <v>67316</v>
      </c>
      <c r="F21" s="55">
        <f t="shared" si="0"/>
        <v>1.8049604504625285</v>
      </c>
      <c r="G21" s="108">
        <v>33376.717109999998</v>
      </c>
      <c r="H21" s="109">
        <v>0</v>
      </c>
      <c r="I21" s="108">
        <v>3413.2148000000002</v>
      </c>
      <c r="J21" s="108">
        <f t="shared" si="1"/>
        <v>36789.931909999999</v>
      </c>
      <c r="K21" s="48">
        <f>J21/'Форма 1'!R22</f>
        <v>0.51022222919408577</v>
      </c>
      <c r="L21" s="108">
        <v>10069.616410000001</v>
      </c>
      <c r="M21" s="109">
        <v>0</v>
      </c>
      <c r="N21" s="108">
        <v>1030.7896000000001</v>
      </c>
      <c r="O21" s="107">
        <f t="shared" si="2"/>
        <v>11100.406010000001</v>
      </c>
      <c r="P21" s="39"/>
      <c r="Q21" s="26"/>
    </row>
    <row r="22" spans="1:17" ht="15.75" x14ac:dyDescent="0.25">
      <c r="A22" s="73">
        <v>16</v>
      </c>
      <c r="B22" s="32" t="s">
        <v>139</v>
      </c>
      <c r="C22" s="103">
        <v>99.2</v>
      </c>
      <c r="D22" s="104">
        <v>37485</v>
      </c>
      <c r="E22" s="104">
        <v>37641</v>
      </c>
      <c r="F22" s="55">
        <f t="shared" si="0"/>
        <v>1.0041616646658664</v>
      </c>
      <c r="G22" s="108">
        <v>40422.477079999997</v>
      </c>
      <c r="H22" s="109">
        <v>100.50319</v>
      </c>
      <c r="I22" s="108">
        <v>4100.8999999999996</v>
      </c>
      <c r="J22" s="108">
        <f t="shared" ref="J22:J39" si="3">SUM(G22:I22)</f>
        <v>44623.880270000001</v>
      </c>
      <c r="K22" s="48">
        <f>J22/'Форма 1'!R23</f>
        <v>0.41123637262136425</v>
      </c>
      <c r="L22" s="108">
        <v>12216.46175</v>
      </c>
      <c r="M22" s="109">
        <v>30.351959999999998</v>
      </c>
      <c r="N22" s="108">
        <v>1238.4702</v>
      </c>
      <c r="O22" s="107">
        <f t="shared" si="2"/>
        <v>13485.28391</v>
      </c>
      <c r="P22" s="39"/>
      <c r="Q22" s="26"/>
    </row>
    <row r="23" spans="1:17" ht="30" x14ac:dyDescent="0.25">
      <c r="A23" s="73">
        <v>17</v>
      </c>
      <c r="B23" s="32" t="s">
        <v>140</v>
      </c>
      <c r="C23" s="103">
        <v>27.5</v>
      </c>
      <c r="D23" s="104">
        <v>28653</v>
      </c>
      <c r="E23" s="104">
        <v>41217</v>
      </c>
      <c r="F23" s="55">
        <f t="shared" si="0"/>
        <v>1.4384881164275991</v>
      </c>
      <c r="G23" s="108">
        <v>8192.3943099999997</v>
      </c>
      <c r="H23" s="109">
        <v>0</v>
      </c>
      <c r="I23" s="108">
        <v>1413.826</v>
      </c>
      <c r="J23" s="108">
        <f t="shared" si="3"/>
        <v>9606.2203100000006</v>
      </c>
      <c r="K23" s="48">
        <f>J23/'Форма 1'!R24</f>
        <v>0.6086328404232958</v>
      </c>
      <c r="L23" s="108">
        <v>2474.10455</v>
      </c>
      <c r="M23" s="109">
        <v>0</v>
      </c>
      <c r="N23" s="108">
        <v>426.97399999999999</v>
      </c>
      <c r="O23" s="107">
        <f t="shared" si="2"/>
        <v>2901.0785500000002</v>
      </c>
      <c r="P23" s="39"/>
      <c r="Q23" s="26"/>
    </row>
    <row r="24" spans="1:17" ht="30" x14ac:dyDescent="0.25">
      <c r="A24" s="73">
        <v>18</v>
      </c>
      <c r="B24" s="32" t="s">
        <v>141</v>
      </c>
      <c r="C24" s="103">
        <v>35.9</v>
      </c>
      <c r="D24" s="104">
        <v>30591</v>
      </c>
      <c r="E24" s="104">
        <v>60142</v>
      </c>
      <c r="F24" s="55">
        <f t="shared" si="0"/>
        <v>1.9660030727991893</v>
      </c>
      <c r="G24" s="108">
        <v>11202.771000000001</v>
      </c>
      <c r="H24" s="109">
        <v>209.84634</v>
      </c>
      <c r="I24" s="108">
        <v>2120.7379999999998</v>
      </c>
      <c r="J24" s="108">
        <f t="shared" si="3"/>
        <v>13533.35534</v>
      </c>
      <c r="K24" s="48">
        <f>J24/'Форма 1'!R25</f>
        <v>0.58141620387415505</v>
      </c>
      <c r="L24" s="108">
        <v>3383.23776</v>
      </c>
      <c r="M24" s="109">
        <v>63.373600000000003</v>
      </c>
      <c r="N24" s="108">
        <v>640.46199999999999</v>
      </c>
      <c r="O24" s="107">
        <f t="shared" si="2"/>
        <v>4087.0733599999999</v>
      </c>
      <c r="P24" s="39"/>
      <c r="Q24" s="26"/>
    </row>
    <row r="25" spans="1:17" ht="30" x14ac:dyDescent="0.25">
      <c r="A25" s="73">
        <v>19</v>
      </c>
      <c r="B25" s="32" t="s">
        <v>142</v>
      </c>
      <c r="C25" s="103">
        <v>84.2</v>
      </c>
      <c r="D25" s="104">
        <v>33908</v>
      </c>
      <c r="E25" s="104">
        <v>55533</v>
      </c>
      <c r="F25" s="55">
        <f t="shared" si="0"/>
        <v>1.6377551020408163</v>
      </c>
      <c r="G25" s="108">
        <v>30088.762269999999</v>
      </c>
      <c r="H25" s="109">
        <v>423.35775000000001</v>
      </c>
      <c r="I25" s="108">
        <v>4008.0010000000002</v>
      </c>
      <c r="J25" s="108">
        <f t="shared" si="3"/>
        <v>34520.121019999999</v>
      </c>
      <c r="K25" s="48">
        <f>J25/'Форма 1'!R26</f>
        <v>0.44362322804769999</v>
      </c>
      <c r="L25" s="108">
        <v>9083.9075300000004</v>
      </c>
      <c r="M25" s="109">
        <v>127.85405</v>
      </c>
      <c r="N25" s="108">
        <v>1210.4190000000001</v>
      </c>
      <c r="O25" s="107">
        <f t="shared" si="2"/>
        <v>10422.18058</v>
      </c>
      <c r="P25" s="39"/>
      <c r="Q25" s="26"/>
    </row>
    <row r="26" spans="1:17" ht="30" x14ac:dyDescent="0.25">
      <c r="A26" s="73">
        <v>20</v>
      </c>
      <c r="B26" s="32" t="s">
        <v>143</v>
      </c>
      <c r="C26" s="103">
        <v>38.5</v>
      </c>
      <c r="D26" s="104">
        <v>31513</v>
      </c>
      <c r="E26" s="104">
        <v>54317</v>
      </c>
      <c r="F26" s="55">
        <f t="shared" si="0"/>
        <v>1.7236378637387744</v>
      </c>
      <c r="G26" s="108">
        <v>12399.84369</v>
      </c>
      <c r="H26" s="109">
        <v>223.84572</v>
      </c>
      <c r="I26" s="108">
        <v>2209.0630000000001</v>
      </c>
      <c r="J26" s="108">
        <f t="shared" si="3"/>
        <v>14832.752409999999</v>
      </c>
      <c r="K26" s="48">
        <f>J26/'Форма 1'!R27</f>
        <v>0.57612007539599885</v>
      </c>
      <c r="L26" s="108">
        <v>3734.56765</v>
      </c>
      <c r="M26" s="109">
        <v>67.601420000000005</v>
      </c>
      <c r="N26" s="108">
        <v>667.13699999999994</v>
      </c>
      <c r="O26" s="107">
        <f t="shared" si="2"/>
        <v>4469.3060699999996</v>
      </c>
      <c r="P26" s="39"/>
      <c r="Q26" s="26"/>
    </row>
    <row r="27" spans="1:17" ht="15.75" x14ac:dyDescent="0.25">
      <c r="A27" s="73">
        <v>21</v>
      </c>
      <c r="B27" s="32" t="s">
        <v>144</v>
      </c>
      <c r="C27" s="103">
        <v>22.9</v>
      </c>
      <c r="D27" s="104">
        <v>28965</v>
      </c>
      <c r="E27" s="104">
        <v>41667</v>
      </c>
      <c r="F27" s="55">
        <f t="shared" si="0"/>
        <v>1.4385292594510617</v>
      </c>
      <c r="G27" s="108">
        <v>7028.7470000000003</v>
      </c>
      <c r="H27" s="109">
        <v>0</v>
      </c>
      <c r="I27" s="108">
        <v>1083.3620000000001</v>
      </c>
      <c r="J27" s="108">
        <f t="shared" si="3"/>
        <v>8112.1090000000004</v>
      </c>
      <c r="K27" s="48">
        <f>J27/'Форма 1'!R28</f>
        <v>0.60774495705843234</v>
      </c>
      <c r="L27" s="108">
        <v>2122.4700800000001</v>
      </c>
      <c r="M27" s="109">
        <v>0</v>
      </c>
      <c r="N27" s="108">
        <v>327.17880000000002</v>
      </c>
      <c r="O27" s="107">
        <f t="shared" si="2"/>
        <v>2449.6488800000002</v>
      </c>
      <c r="P27" s="39"/>
      <c r="Q27" s="26"/>
    </row>
    <row r="28" spans="1:17" ht="30" x14ac:dyDescent="0.25">
      <c r="A28" s="73">
        <v>22</v>
      </c>
      <c r="B28" s="32" t="s">
        <v>145</v>
      </c>
      <c r="C28" s="103">
        <v>29.9</v>
      </c>
      <c r="D28" s="104">
        <v>30284</v>
      </c>
      <c r="E28" s="104">
        <v>49692</v>
      </c>
      <c r="F28" s="55">
        <f t="shared" si="0"/>
        <v>1.6408664641394797</v>
      </c>
      <c r="G28" s="108">
        <v>9562.3484100000005</v>
      </c>
      <c r="H28" s="109">
        <v>0</v>
      </c>
      <c r="I28" s="108">
        <v>1536.521</v>
      </c>
      <c r="J28" s="108">
        <f t="shared" si="3"/>
        <v>11098.869410000001</v>
      </c>
      <c r="K28" s="48">
        <f>J28/'Форма 1'!R29</f>
        <v>0.60182422502988209</v>
      </c>
      <c r="L28" s="108">
        <v>2887.8313600000001</v>
      </c>
      <c r="M28" s="109">
        <v>0</v>
      </c>
      <c r="N28" s="108">
        <v>464.02719999999999</v>
      </c>
      <c r="O28" s="107">
        <f t="shared" si="2"/>
        <v>3351.8585600000001</v>
      </c>
      <c r="P28" s="39"/>
      <c r="Q28" s="26"/>
    </row>
    <row r="29" spans="1:17" ht="30" x14ac:dyDescent="0.25">
      <c r="A29" s="73">
        <v>23</v>
      </c>
      <c r="B29" s="32" t="s">
        <v>146</v>
      </c>
      <c r="C29" s="103">
        <v>30</v>
      </c>
      <c r="D29" s="104">
        <v>29289</v>
      </c>
      <c r="E29" s="104">
        <v>47592</v>
      </c>
      <c r="F29" s="55">
        <f t="shared" si="0"/>
        <v>1.6249103759090444</v>
      </c>
      <c r="G29" s="108">
        <v>9141.1897300000001</v>
      </c>
      <c r="H29" s="109">
        <v>0</v>
      </c>
      <c r="I29" s="108">
        <v>1622.441</v>
      </c>
      <c r="J29" s="108">
        <f t="shared" si="3"/>
        <v>10763.630730000001</v>
      </c>
      <c r="K29" s="48">
        <f>J29/'Форма 1'!R30</f>
        <v>0.6128605254015691</v>
      </c>
      <c r="L29" s="108">
        <v>2760.63753</v>
      </c>
      <c r="M29" s="108">
        <v>0</v>
      </c>
      <c r="N29" s="108">
        <v>489.97899999999998</v>
      </c>
      <c r="O29" s="107">
        <f t="shared" si="2"/>
        <v>3250.6165299999998</v>
      </c>
      <c r="P29" s="39"/>
      <c r="Q29" s="26"/>
    </row>
    <row r="30" spans="1:17" ht="30" x14ac:dyDescent="0.25">
      <c r="A30" s="73">
        <v>24</v>
      </c>
      <c r="B30" s="32" t="s">
        <v>147</v>
      </c>
      <c r="C30" s="103">
        <v>11.6</v>
      </c>
      <c r="D30" s="104">
        <v>34077</v>
      </c>
      <c r="E30" s="104">
        <v>39433</v>
      </c>
      <c r="F30" s="55">
        <f t="shared" si="0"/>
        <v>1.1571734601050563</v>
      </c>
      <c r="G30" s="108">
        <v>4302.86481</v>
      </c>
      <c r="H30" s="109">
        <v>0</v>
      </c>
      <c r="I30" s="108">
        <v>504.91199999999998</v>
      </c>
      <c r="J30" s="108">
        <f t="shared" si="3"/>
        <v>4807.7768100000003</v>
      </c>
      <c r="K30" s="48">
        <f>J30/'Форма 1'!R31</f>
        <v>0.57045040544408188</v>
      </c>
      <c r="L30" s="108">
        <v>1299.4605899999999</v>
      </c>
      <c r="M30" s="109">
        <v>0</v>
      </c>
      <c r="N30" s="108">
        <v>152.488</v>
      </c>
      <c r="O30" s="107">
        <f t="shared" si="2"/>
        <v>1451.94859</v>
      </c>
      <c r="P30" s="39"/>
      <c r="Q30" s="26"/>
    </row>
    <row r="31" spans="1:17" ht="30" x14ac:dyDescent="0.25">
      <c r="A31" s="73">
        <v>25</v>
      </c>
      <c r="B31" s="32" t="s">
        <v>148</v>
      </c>
      <c r="C31" s="103">
        <v>25.6</v>
      </c>
      <c r="D31" s="104">
        <v>29650</v>
      </c>
      <c r="E31" s="104">
        <v>56433</v>
      </c>
      <c r="F31" s="55">
        <f t="shared" si="0"/>
        <v>1.9033052276559865</v>
      </c>
      <c r="G31" s="108">
        <v>8263.1157700000003</v>
      </c>
      <c r="H31" s="108">
        <v>156.90479999999999</v>
      </c>
      <c r="I31" s="108">
        <v>1009.905</v>
      </c>
      <c r="J31" s="108">
        <f t="shared" si="3"/>
        <v>9429.9255700000012</v>
      </c>
      <c r="K31" s="48">
        <f>J31/'Форма 1'!R32</f>
        <v>0.55927315520800613</v>
      </c>
      <c r="L31" s="108">
        <v>2495.4572899999998</v>
      </c>
      <c r="M31" s="108">
        <v>47.385280000000002</v>
      </c>
      <c r="N31" s="108">
        <v>304.995</v>
      </c>
      <c r="O31" s="107">
        <f t="shared" si="2"/>
        <v>2847.8375699999997</v>
      </c>
      <c r="P31" s="39"/>
      <c r="Q31" s="26"/>
    </row>
    <row r="32" spans="1:17" ht="15.75" x14ac:dyDescent="0.25">
      <c r="A32" s="73">
        <v>26</v>
      </c>
      <c r="B32" s="32" t="s">
        <v>149</v>
      </c>
      <c r="C32" s="103">
        <v>24.4</v>
      </c>
      <c r="D32" s="104">
        <v>28120</v>
      </c>
      <c r="E32" s="104">
        <v>44783</v>
      </c>
      <c r="F32" s="55">
        <f t="shared" si="0"/>
        <v>1.5925675675675677</v>
      </c>
      <c r="G32" s="108">
        <v>7150.2030999999997</v>
      </c>
      <c r="H32" s="109">
        <v>21.108499999999999</v>
      </c>
      <c r="I32" s="108">
        <v>1262.29</v>
      </c>
      <c r="J32" s="108">
        <f t="shared" si="3"/>
        <v>8433.6016</v>
      </c>
      <c r="K32" s="48">
        <f>J32/'Форма 1'!R33</f>
        <v>0.61077249906731124</v>
      </c>
      <c r="L32" s="108">
        <v>2159.3208399999999</v>
      </c>
      <c r="M32" s="109">
        <v>3.7375400000000001</v>
      </c>
      <c r="N32" s="108">
        <v>381.21</v>
      </c>
      <c r="O32" s="107">
        <f t="shared" si="2"/>
        <v>2544.26838</v>
      </c>
      <c r="P32" s="39"/>
      <c r="Q32" s="26"/>
    </row>
    <row r="33" spans="1:17" ht="15.75" x14ac:dyDescent="0.25">
      <c r="A33" s="73">
        <v>27</v>
      </c>
      <c r="B33" s="32" t="s">
        <v>150</v>
      </c>
      <c r="C33" s="103">
        <v>46.9</v>
      </c>
      <c r="D33" s="104">
        <v>34742</v>
      </c>
      <c r="E33" s="104">
        <v>59883</v>
      </c>
      <c r="F33" s="55">
        <f t="shared" si="0"/>
        <v>1.7236486097518853</v>
      </c>
      <c r="G33" s="108">
        <v>16887.91101</v>
      </c>
      <c r="H33" s="109"/>
      <c r="I33" s="108">
        <v>2966.5129999999999</v>
      </c>
      <c r="J33" s="108">
        <f t="shared" si="3"/>
        <v>19854.424009999999</v>
      </c>
      <c r="K33" s="48">
        <f>J33/'Форма 1'!R34</f>
        <v>0.61533648819785103</v>
      </c>
      <c r="L33" s="108">
        <v>5096.5250599999999</v>
      </c>
      <c r="M33" s="109">
        <v>0</v>
      </c>
      <c r="N33" s="108">
        <v>895.88699999999994</v>
      </c>
      <c r="O33" s="107">
        <f t="shared" si="2"/>
        <v>5992.4120599999997</v>
      </c>
      <c r="P33" s="39"/>
      <c r="Q33" s="26"/>
    </row>
    <row r="34" spans="1:17" ht="30" x14ac:dyDescent="0.25">
      <c r="A34" s="73">
        <v>28</v>
      </c>
      <c r="B34" s="32" t="s">
        <v>151</v>
      </c>
      <c r="C34" s="103">
        <v>15.7</v>
      </c>
      <c r="D34" s="104">
        <v>25219</v>
      </c>
      <c r="E34" s="104">
        <v>39400</v>
      </c>
      <c r="F34" s="55">
        <f t="shared" si="0"/>
        <v>1.5623141282366471</v>
      </c>
      <c r="G34" s="108">
        <v>4227.0540899999996</v>
      </c>
      <c r="H34" s="109">
        <v>0</v>
      </c>
      <c r="I34" s="108">
        <v>694.31600000000003</v>
      </c>
      <c r="J34" s="108">
        <f t="shared" si="3"/>
        <v>4921.3700899999994</v>
      </c>
      <c r="K34" s="48">
        <f>J34/'Форма 1'!R35</f>
        <v>0.58051133014159551</v>
      </c>
      <c r="L34" s="108">
        <v>1276.5697600000001</v>
      </c>
      <c r="M34" s="109">
        <v>0</v>
      </c>
      <c r="N34" s="108">
        <v>209.684</v>
      </c>
      <c r="O34" s="107">
        <f t="shared" si="2"/>
        <v>1486.2537600000001</v>
      </c>
      <c r="P34" s="39"/>
      <c r="Q34" s="26"/>
    </row>
    <row r="35" spans="1:17" ht="30" x14ac:dyDescent="0.25">
      <c r="A35" s="73">
        <v>29</v>
      </c>
      <c r="B35" s="32" t="s">
        <v>152</v>
      </c>
      <c r="C35" s="103">
        <v>39.799999999999997</v>
      </c>
      <c r="D35" s="104">
        <v>30208</v>
      </c>
      <c r="E35" s="104">
        <v>44592</v>
      </c>
      <c r="F35" s="55">
        <f t="shared" si="0"/>
        <v>1.4761652542372881</v>
      </c>
      <c r="G35" s="108">
        <v>12417.13924</v>
      </c>
      <c r="H35" s="109">
        <v>0</v>
      </c>
      <c r="I35" s="108">
        <v>2182.8879999999999</v>
      </c>
      <c r="J35" s="108">
        <f t="shared" si="3"/>
        <v>14600.027239999999</v>
      </c>
      <c r="K35" s="48">
        <f>J35/'Форма 1'!R36</f>
        <v>0.56812459906772772</v>
      </c>
      <c r="L35" s="108">
        <v>3749.9749999999999</v>
      </c>
      <c r="M35" s="109">
        <v>0</v>
      </c>
      <c r="N35" s="108">
        <v>659.23320000000001</v>
      </c>
      <c r="O35" s="107">
        <f t="shared" si="2"/>
        <v>4409.2082</v>
      </c>
      <c r="P35" s="39"/>
      <c r="Q35" s="26"/>
    </row>
    <row r="36" spans="1:17" ht="30" x14ac:dyDescent="0.25">
      <c r="A36" s="73">
        <v>30</v>
      </c>
      <c r="B36" s="32" t="s">
        <v>153</v>
      </c>
      <c r="C36" s="103">
        <v>15.7</v>
      </c>
      <c r="D36" s="104">
        <v>28043</v>
      </c>
      <c r="E36" s="104">
        <v>38575</v>
      </c>
      <c r="F36" s="55">
        <f t="shared" si="0"/>
        <v>1.3755660949256499</v>
      </c>
      <c r="G36" s="108">
        <v>4841.6888300000001</v>
      </c>
      <c r="H36" s="109">
        <v>0</v>
      </c>
      <c r="I36" s="108">
        <v>567.97</v>
      </c>
      <c r="J36" s="108">
        <f t="shared" si="3"/>
        <v>5409.6588300000003</v>
      </c>
      <c r="K36" s="48">
        <f>J36/'Форма 1'!R37</f>
        <v>0.56178798851190126</v>
      </c>
      <c r="L36" s="108">
        <v>1462.1869999999999</v>
      </c>
      <c r="M36" s="109">
        <v>0</v>
      </c>
      <c r="N36" s="108">
        <v>171.53</v>
      </c>
      <c r="O36" s="107">
        <f t="shared" si="2"/>
        <v>1633.7169999999999</v>
      </c>
      <c r="P36" s="39"/>
      <c r="Q36" s="26"/>
    </row>
    <row r="37" spans="1:17" ht="30" x14ac:dyDescent="0.25">
      <c r="A37" s="73">
        <v>31</v>
      </c>
      <c r="B37" s="32" t="s">
        <v>154</v>
      </c>
      <c r="C37" s="103">
        <v>31</v>
      </c>
      <c r="D37" s="104">
        <v>27853</v>
      </c>
      <c r="E37" s="104">
        <v>51292</v>
      </c>
      <c r="F37" s="55">
        <f t="shared" si="0"/>
        <v>1.8415251498940868</v>
      </c>
      <c r="G37" s="108">
        <v>9127.6591599999992</v>
      </c>
      <c r="H37" s="109">
        <v>0</v>
      </c>
      <c r="I37" s="108">
        <v>1514.82</v>
      </c>
      <c r="J37" s="108">
        <f>SUM(G37:I37)</f>
        <v>10642.479159999999</v>
      </c>
      <c r="K37" s="48">
        <f>J37/'Форма 1'!R38</f>
        <v>0.60477733936577072</v>
      </c>
      <c r="L37" s="108">
        <v>2755.3407400000001</v>
      </c>
      <c r="M37" s="109">
        <v>0</v>
      </c>
      <c r="N37" s="108">
        <v>457.48</v>
      </c>
      <c r="O37" s="107">
        <f t="shared" si="2"/>
        <v>3212.8207400000001</v>
      </c>
      <c r="P37" s="39"/>
      <c r="Q37" s="26"/>
    </row>
    <row r="38" spans="1:17" ht="30" x14ac:dyDescent="0.25">
      <c r="A38" s="73">
        <v>32</v>
      </c>
      <c r="B38" s="32" t="s">
        <v>194</v>
      </c>
      <c r="C38" s="103">
        <v>25.2</v>
      </c>
      <c r="D38" s="104">
        <v>30664</v>
      </c>
      <c r="E38" s="104">
        <v>56825</v>
      </c>
      <c r="F38" s="55">
        <f t="shared" si="0"/>
        <v>1.8531502739368642</v>
      </c>
      <c r="G38" s="108">
        <v>8327.50209</v>
      </c>
      <c r="H38" s="109">
        <v>66.12133</v>
      </c>
      <c r="I38" s="108">
        <v>1193.136</v>
      </c>
      <c r="J38" s="108">
        <f>SUM(G38:I38)</f>
        <v>9586.7594200000003</v>
      </c>
      <c r="K38" s="48">
        <f>J38/'Форма 1'!R39</f>
        <v>0.6130812965842044</v>
      </c>
      <c r="L38" s="108">
        <v>2509.7718</v>
      </c>
      <c r="M38" s="109">
        <v>19.968579999999999</v>
      </c>
      <c r="N38" s="108">
        <v>360.327</v>
      </c>
      <c r="O38" s="107">
        <f>SUM(L38:N38)</f>
        <v>2890.0673800000004</v>
      </c>
      <c r="P38" s="39"/>
      <c r="Q38" s="26"/>
    </row>
    <row r="39" spans="1:17" ht="15.75" x14ac:dyDescent="0.25">
      <c r="A39" s="73">
        <v>33</v>
      </c>
      <c r="B39" s="32" t="s">
        <v>156</v>
      </c>
      <c r="C39" s="103">
        <v>33.700000000000003</v>
      </c>
      <c r="D39" s="104">
        <v>27399</v>
      </c>
      <c r="E39" s="104">
        <v>40675</v>
      </c>
      <c r="F39" s="55">
        <f t="shared" ref="F39:F57" si="4">E39/D39</f>
        <v>1.4845432315047995</v>
      </c>
      <c r="G39" s="108">
        <v>9661.6149999999998</v>
      </c>
      <c r="H39" s="109">
        <v>0</v>
      </c>
      <c r="I39" s="108">
        <v>1577.88</v>
      </c>
      <c r="J39" s="108">
        <f t="shared" si="3"/>
        <v>11239.494999999999</v>
      </c>
      <c r="K39" s="48">
        <f>J39/'Форма 1'!R40</f>
        <v>0.58561313486990618</v>
      </c>
      <c r="L39" s="108">
        <v>2906.12041</v>
      </c>
      <c r="M39" s="109">
        <v>0</v>
      </c>
      <c r="N39" s="108">
        <v>476.52</v>
      </c>
      <c r="O39" s="107">
        <f t="shared" si="2"/>
        <v>3382.64041</v>
      </c>
      <c r="P39" s="39"/>
      <c r="Q39" s="26"/>
    </row>
    <row r="40" spans="1:17" ht="30" x14ac:dyDescent="0.25">
      <c r="A40" s="73">
        <v>34</v>
      </c>
      <c r="B40" s="32" t="s">
        <v>157</v>
      </c>
      <c r="C40" s="103">
        <v>33.9</v>
      </c>
      <c r="D40" s="104">
        <v>35457</v>
      </c>
      <c r="E40" s="104">
        <v>61092</v>
      </c>
      <c r="F40" s="55">
        <f t="shared" si="4"/>
        <v>1.7229884084947966</v>
      </c>
      <c r="G40" s="108">
        <v>12084.111999999999</v>
      </c>
      <c r="H40" s="109">
        <v>245.08148</v>
      </c>
      <c r="I40" s="108">
        <v>2402.181</v>
      </c>
      <c r="J40" s="108">
        <f>SUM(G40:I40)</f>
        <v>14731.37448</v>
      </c>
      <c r="K40" s="48">
        <f>J40/'Форма 1'!R41</f>
        <v>0.52300208731142916</v>
      </c>
      <c r="L40" s="108">
        <v>3648.19562</v>
      </c>
      <c r="M40" s="109">
        <v>74.014610000000005</v>
      </c>
      <c r="N40" s="108">
        <v>725.46019999999999</v>
      </c>
      <c r="O40" s="107">
        <f t="shared" si="2"/>
        <v>4447.6704300000001</v>
      </c>
      <c r="P40" s="39"/>
      <c r="Q40" s="26"/>
    </row>
    <row r="41" spans="1:17" ht="30" x14ac:dyDescent="0.25">
      <c r="A41" s="73">
        <v>35</v>
      </c>
      <c r="B41" s="32" t="s">
        <v>158</v>
      </c>
      <c r="C41" s="103">
        <v>30.4</v>
      </c>
      <c r="D41" s="104">
        <v>33569</v>
      </c>
      <c r="E41" s="104">
        <v>54142</v>
      </c>
      <c r="F41" s="55">
        <f t="shared" si="4"/>
        <v>1.6128571003008729</v>
      </c>
      <c r="G41" s="108">
        <v>11437.658520000001</v>
      </c>
      <c r="H41" s="109">
        <v>0</v>
      </c>
      <c r="I41" s="108">
        <v>1055.1569999999999</v>
      </c>
      <c r="J41" s="108">
        <f>SUM(G41:I41)</f>
        <v>12492.81552</v>
      </c>
      <c r="K41" s="48">
        <f>J41/'Форма 1'!R42</f>
        <v>0.52334020782314516</v>
      </c>
      <c r="L41" s="108">
        <v>3449.4191599999999</v>
      </c>
      <c r="M41" s="109">
        <v>0</v>
      </c>
      <c r="N41" s="108">
        <v>318.65899999999999</v>
      </c>
      <c r="O41" s="107">
        <f t="shared" si="2"/>
        <v>3768.07816</v>
      </c>
      <c r="P41" s="39"/>
      <c r="Q41" s="26"/>
    </row>
    <row r="42" spans="1:17" ht="30" x14ac:dyDescent="0.25">
      <c r="A42" s="73">
        <v>36</v>
      </c>
      <c r="B42" s="32" t="s">
        <v>159</v>
      </c>
      <c r="C42" s="103">
        <v>21.4</v>
      </c>
      <c r="D42" s="104">
        <v>36807</v>
      </c>
      <c r="E42" s="104">
        <v>62808</v>
      </c>
      <c r="F42" s="55">
        <f t="shared" si="4"/>
        <v>1.7064145407123645</v>
      </c>
      <c r="G42" s="108">
        <v>8756.5820899999999</v>
      </c>
      <c r="H42" s="109">
        <v>0</v>
      </c>
      <c r="I42" s="108">
        <v>1007.5410000000001</v>
      </c>
      <c r="J42" s="108">
        <f>SUM(G42:I42)</f>
        <v>9764.1230899999991</v>
      </c>
      <c r="K42" s="48">
        <f>J42/'Форма 1'!R43</f>
        <v>0.51123271074288634</v>
      </c>
      <c r="L42" s="108">
        <v>2644.4902000000002</v>
      </c>
      <c r="M42" s="109">
        <v>0</v>
      </c>
      <c r="N42" s="108">
        <v>304.27499999999998</v>
      </c>
      <c r="O42" s="107">
        <f t="shared" si="2"/>
        <v>2948.7652000000003</v>
      </c>
      <c r="P42" s="39"/>
      <c r="Q42" s="26"/>
    </row>
    <row r="43" spans="1:17" ht="30" x14ac:dyDescent="0.25">
      <c r="A43" s="73">
        <v>37</v>
      </c>
      <c r="B43" s="32" t="s">
        <v>160</v>
      </c>
      <c r="C43" s="103">
        <v>65.599999999999994</v>
      </c>
      <c r="D43" s="104">
        <v>38944</v>
      </c>
      <c r="E43" s="104">
        <v>78300</v>
      </c>
      <c r="F43" s="55">
        <f t="shared" si="4"/>
        <v>2.0105792933442892</v>
      </c>
      <c r="G43" s="108">
        <v>28253.59996</v>
      </c>
      <c r="H43" s="109">
        <v>37.990099999999998</v>
      </c>
      <c r="I43" s="108">
        <v>2837.0477999999998</v>
      </c>
      <c r="J43" s="108">
        <f t="shared" ref="J43:J54" si="5">SUM(G43:I43)</f>
        <v>31128.637859999999</v>
      </c>
      <c r="K43" s="48">
        <f>J43/'Форма 1'!R44</f>
        <v>0.54498542726083521</v>
      </c>
      <c r="L43" s="108">
        <v>8531.37745</v>
      </c>
      <c r="M43" s="109">
        <v>11.47303</v>
      </c>
      <c r="N43" s="108">
        <v>856.79039999999998</v>
      </c>
      <c r="O43" s="107">
        <f t="shared" si="2"/>
        <v>9399.640879999999</v>
      </c>
      <c r="P43" s="39"/>
      <c r="Q43" s="26"/>
    </row>
    <row r="44" spans="1:17" ht="15.75" x14ac:dyDescent="0.25">
      <c r="A44" s="73">
        <v>38</v>
      </c>
      <c r="B44" s="32" t="s">
        <v>161</v>
      </c>
      <c r="C44" s="103">
        <v>25.8</v>
      </c>
      <c r="D44" s="104">
        <v>36535</v>
      </c>
      <c r="E44" s="104">
        <v>50858</v>
      </c>
      <c r="F44" s="55">
        <f t="shared" si="4"/>
        <v>1.392035034898043</v>
      </c>
      <c r="G44" s="108">
        <v>10425.754940000001</v>
      </c>
      <c r="H44" s="109">
        <v>0</v>
      </c>
      <c r="I44" s="108">
        <v>1057.394</v>
      </c>
      <c r="J44" s="108">
        <f t="shared" si="5"/>
        <v>11483.148940000001</v>
      </c>
      <c r="K44" s="48">
        <f>J44/'Форма 1'!R45</f>
        <v>0.60723765395227491</v>
      </c>
      <c r="L44" s="108">
        <v>3148.0951500000001</v>
      </c>
      <c r="M44" s="109">
        <v>0</v>
      </c>
      <c r="N44" s="108">
        <v>319.33699999999999</v>
      </c>
      <c r="O44" s="107">
        <f t="shared" si="2"/>
        <v>3467.4321500000001</v>
      </c>
      <c r="P44" s="39"/>
      <c r="Q44" s="26"/>
    </row>
    <row r="45" spans="1:17" ht="30" x14ac:dyDescent="0.25">
      <c r="A45" s="73">
        <v>39</v>
      </c>
      <c r="B45" s="32" t="s">
        <v>162</v>
      </c>
      <c r="C45" s="103">
        <v>61.1</v>
      </c>
      <c r="D45" s="104">
        <v>38145</v>
      </c>
      <c r="E45" s="104">
        <v>69908</v>
      </c>
      <c r="F45" s="55">
        <f t="shared" si="4"/>
        <v>1.8326910473194389</v>
      </c>
      <c r="G45" s="108">
        <v>25932.662</v>
      </c>
      <c r="H45" s="109">
        <v>0</v>
      </c>
      <c r="I45" s="108">
        <v>2416.2878000000001</v>
      </c>
      <c r="J45" s="108">
        <f t="shared" si="5"/>
        <v>28348.949800000002</v>
      </c>
      <c r="K45" s="48">
        <f>J45/'Форма 1'!R46</f>
        <v>0.51880826124125901</v>
      </c>
      <c r="L45" s="108">
        <v>7826.3388000000004</v>
      </c>
      <c r="M45" s="109">
        <v>0</v>
      </c>
      <c r="N45" s="108">
        <v>729.7192</v>
      </c>
      <c r="O45" s="107">
        <f t="shared" si="2"/>
        <v>8556.0580000000009</v>
      </c>
      <c r="P45" s="39"/>
      <c r="Q45" s="26"/>
    </row>
    <row r="46" spans="1:17" ht="15.75" x14ac:dyDescent="0.25">
      <c r="A46" s="73">
        <v>40</v>
      </c>
      <c r="B46" s="32" t="s">
        <v>163</v>
      </c>
      <c r="C46" s="103">
        <v>70</v>
      </c>
      <c r="D46" s="104">
        <v>42708</v>
      </c>
      <c r="E46" s="104">
        <v>82625</v>
      </c>
      <c r="F46" s="55">
        <f t="shared" si="4"/>
        <v>1.9346492460428959</v>
      </c>
      <c r="G46" s="108">
        <v>33380.137790000001</v>
      </c>
      <c r="H46" s="109">
        <v>0</v>
      </c>
      <c r="I46" s="108">
        <v>2973.9360000000001</v>
      </c>
      <c r="J46" s="108">
        <f t="shared" si="5"/>
        <v>36354.073790000002</v>
      </c>
      <c r="K46" s="48">
        <f>J46/'Форма 1'!R47</f>
        <v>0.59307549057466602</v>
      </c>
      <c r="L46" s="108">
        <v>10054.45638</v>
      </c>
      <c r="M46" s="109">
        <v>0</v>
      </c>
      <c r="N46" s="108">
        <v>898.12959999999998</v>
      </c>
      <c r="O46" s="107">
        <f t="shared" si="2"/>
        <v>10952.58598</v>
      </c>
      <c r="P46" s="39"/>
      <c r="Q46" s="26"/>
    </row>
    <row r="47" spans="1:17" ht="15.75" x14ac:dyDescent="0.25">
      <c r="A47" s="73">
        <v>41</v>
      </c>
      <c r="B47" s="32" t="s">
        <v>164</v>
      </c>
      <c r="C47" s="103">
        <v>56.1</v>
      </c>
      <c r="D47" s="104">
        <v>42419</v>
      </c>
      <c r="E47" s="104">
        <v>79542</v>
      </c>
      <c r="F47" s="55">
        <f t="shared" si="4"/>
        <v>1.8751502864282514</v>
      </c>
      <c r="G47" s="108">
        <v>26453.923999999999</v>
      </c>
      <c r="H47" s="109">
        <v>0</v>
      </c>
      <c r="I47" s="108">
        <v>2547.9708000000001</v>
      </c>
      <c r="J47" s="108">
        <f t="shared" si="5"/>
        <v>29001.894799999998</v>
      </c>
      <c r="K47" s="48">
        <f>J47/'Форма 1'!R48</f>
        <v>0.46802314777878812</v>
      </c>
      <c r="L47" s="108">
        <v>7989.0360000000001</v>
      </c>
      <c r="M47" s="109">
        <v>0</v>
      </c>
      <c r="N47" s="108">
        <v>769.48500000000001</v>
      </c>
      <c r="O47" s="107">
        <f t="shared" si="2"/>
        <v>8758.5210000000006</v>
      </c>
      <c r="P47" s="39"/>
      <c r="Q47" s="26"/>
    </row>
    <row r="48" spans="1:17" ht="15.75" x14ac:dyDescent="0.25">
      <c r="A48" s="73">
        <v>42</v>
      </c>
      <c r="B48" s="32" t="s">
        <v>165</v>
      </c>
      <c r="C48" s="103">
        <v>37.299999999999997</v>
      </c>
      <c r="D48" s="104">
        <v>29544</v>
      </c>
      <c r="E48" s="104">
        <v>51367</v>
      </c>
      <c r="F48" s="55">
        <f t="shared" si="4"/>
        <v>1.738660980232873</v>
      </c>
      <c r="G48" s="108">
        <v>12417.14178</v>
      </c>
      <c r="H48" s="109">
        <v>0</v>
      </c>
      <c r="I48" s="108">
        <v>1068.4674</v>
      </c>
      <c r="J48" s="108">
        <f t="shared" si="5"/>
        <v>13485.609179999999</v>
      </c>
      <c r="K48" s="48">
        <f>J48/'Форма 1'!R49</f>
        <v>0.49918023279960716</v>
      </c>
      <c r="L48" s="108">
        <v>3748.8574100000001</v>
      </c>
      <c r="M48" s="109">
        <v>0</v>
      </c>
      <c r="N48" s="108">
        <v>323.79660000000001</v>
      </c>
      <c r="O48" s="107">
        <f t="shared" si="2"/>
        <v>4072.6540100000002</v>
      </c>
      <c r="P48" s="39"/>
      <c r="Q48" s="26"/>
    </row>
    <row r="49" spans="1:17" ht="15.75" x14ac:dyDescent="0.25">
      <c r="A49" s="73">
        <v>43</v>
      </c>
      <c r="B49" s="32" t="s">
        <v>166</v>
      </c>
      <c r="C49" s="103">
        <v>44.7</v>
      </c>
      <c r="D49" s="104">
        <v>28662</v>
      </c>
      <c r="E49" s="104">
        <v>49242</v>
      </c>
      <c r="F49" s="55">
        <f t="shared" si="4"/>
        <v>1.7180238643500105</v>
      </c>
      <c r="G49" s="108">
        <v>14434.30321</v>
      </c>
      <c r="H49" s="109">
        <v>0</v>
      </c>
      <c r="I49" s="108">
        <v>1186.913</v>
      </c>
      <c r="J49" s="108">
        <f t="shared" si="5"/>
        <v>15621.216210000001</v>
      </c>
      <c r="K49" s="48">
        <f>J49/'Форма 1'!R50</f>
        <v>0.48177633570764461</v>
      </c>
      <c r="L49" s="108">
        <v>4357.9516199999998</v>
      </c>
      <c r="M49" s="109">
        <v>0</v>
      </c>
      <c r="N49" s="108">
        <v>358.44760000000002</v>
      </c>
      <c r="O49" s="107">
        <f t="shared" si="2"/>
        <v>4716.3992200000002</v>
      </c>
      <c r="P49" s="39"/>
      <c r="Q49" s="26"/>
    </row>
    <row r="50" spans="1:17" ht="15.75" x14ac:dyDescent="0.25">
      <c r="A50" s="73">
        <v>44</v>
      </c>
      <c r="B50" s="32" t="s">
        <v>167</v>
      </c>
      <c r="C50" s="103">
        <v>22.4</v>
      </c>
      <c r="D50" s="104">
        <v>29305</v>
      </c>
      <c r="E50" s="104">
        <v>50950</v>
      </c>
      <c r="F50" s="55">
        <f t="shared" si="4"/>
        <v>1.7386111585053745</v>
      </c>
      <c r="G50" s="108">
        <v>6971.7769099999996</v>
      </c>
      <c r="H50" s="109">
        <v>0</v>
      </c>
      <c r="I50" s="108">
        <v>905.54399999999998</v>
      </c>
      <c r="J50" s="108">
        <f t="shared" si="5"/>
        <v>7877.3209099999995</v>
      </c>
      <c r="K50" s="48">
        <f>J50/'Форма 1'!R51</f>
        <v>0.52890301327150524</v>
      </c>
      <c r="L50" s="108">
        <v>2105.4756900000002</v>
      </c>
      <c r="M50" s="109">
        <v>0</v>
      </c>
      <c r="N50" s="108">
        <v>273.47519999999997</v>
      </c>
      <c r="O50" s="107">
        <f t="shared" si="2"/>
        <v>2378.9508900000001</v>
      </c>
      <c r="P50" s="39"/>
      <c r="Q50" s="26"/>
    </row>
    <row r="51" spans="1:17" ht="30" x14ac:dyDescent="0.25">
      <c r="A51" s="73">
        <v>45</v>
      </c>
      <c r="B51" s="32" t="s">
        <v>168</v>
      </c>
      <c r="C51" s="103">
        <v>35.6</v>
      </c>
      <c r="D51" s="104">
        <v>30553</v>
      </c>
      <c r="E51" s="104">
        <v>55392</v>
      </c>
      <c r="F51" s="55">
        <f t="shared" si="4"/>
        <v>1.8129807220240237</v>
      </c>
      <c r="G51" s="108">
        <v>12284.119189999999</v>
      </c>
      <c r="H51" s="109">
        <v>0</v>
      </c>
      <c r="I51" s="108">
        <v>1066.1094000000001</v>
      </c>
      <c r="J51" s="108">
        <f t="shared" si="5"/>
        <v>13350.228589999999</v>
      </c>
      <c r="K51" s="48">
        <f>J51/'Форма 1'!R52</f>
        <v>0.5686828155914323</v>
      </c>
      <c r="L51" s="108">
        <v>3708.5993800000001</v>
      </c>
      <c r="M51" s="109">
        <v>0</v>
      </c>
      <c r="N51" s="108">
        <v>321.96170000000001</v>
      </c>
      <c r="O51" s="107">
        <f t="shared" si="2"/>
        <v>4030.5610799999999</v>
      </c>
      <c r="P51" s="39"/>
      <c r="Q51" s="26"/>
    </row>
    <row r="52" spans="1:17" ht="15.75" x14ac:dyDescent="0.25">
      <c r="A52" s="73">
        <v>46</v>
      </c>
      <c r="B52" s="32" t="s">
        <v>169</v>
      </c>
      <c r="C52" s="103">
        <v>38</v>
      </c>
      <c r="D52" s="104">
        <v>36789</v>
      </c>
      <c r="E52" s="104">
        <v>67767</v>
      </c>
      <c r="F52" s="55">
        <f t="shared" si="4"/>
        <v>1.8420451765473376</v>
      </c>
      <c r="G52" s="108">
        <v>15637.16193</v>
      </c>
      <c r="H52" s="109">
        <v>0</v>
      </c>
      <c r="I52" s="108">
        <v>1951.7339199999999</v>
      </c>
      <c r="J52" s="108">
        <f t="shared" si="5"/>
        <v>17588.895850000001</v>
      </c>
      <c r="K52" s="48">
        <f>J52/'Форма 1'!R53</f>
        <v>0.47722415046191835</v>
      </c>
      <c r="L52" s="108">
        <v>4712.1097200000004</v>
      </c>
      <c r="M52" s="109">
        <v>0</v>
      </c>
      <c r="N52" s="108">
        <v>589.41880000000003</v>
      </c>
      <c r="O52" s="107">
        <f t="shared" si="2"/>
        <v>5301.5285200000008</v>
      </c>
      <c r="P52" s="39"/>
      <c r="Q52" s="26"/>
    </row>
    <row r="53" spans="1:17" ht="30" x14ac:dyDescent="0.25">
      <c r="A53" s="73">
        <v>47</v>
      </c>
      <c r="B53" s="32" t="s">
        <v>170</v>
      </c>
      <c r="C53" s="103">
        <v>30.5</v>
      </c>
      <c r="D53" s="104">
        <v>37275</v>
      </c>
      <c r="E53" s="104">
        <v>71025</v>
      </c>
      <c r="F53" s="55">
        <f t="shared" si="4"/>
        <v>1.9054325955734406</v>
      </c>
      <c r="G53" s="108">
        <v>12864.93921</v>
      </c>
      <c r="H53" s="109">
        <v>0</v>
      </c>
      <c r="I53" s="108">
        <v>1182.749</v>
      </c>
      <c r="J53" s="108">
        <f t="shared" si="5"/>
        <v>14047.68821</v>
      </c>
      <c r="K53" s="48">
        <f>J53/'Форма 1'!R54</f>
        <v>0.55015062254500169</v>
      </c>
      <c r="L53" s="108">
        <v>3885.01595</v>
      </c>
      <c r="M53" s="109">
        <v>0</v>
      </c>
      <c r="N53" s="108">
        <v>357.18619999999999</v>
      </c>
      <c r="O53" s="107">
        <f t="shared" si="2"/>
        <v>4242.2021500000001</v>
      </c>
      <c r="P53" s="39"/>
      <c r="Q53" s="26"/>
    </row>
    <row r="54" spans="1:17" s="67" customFormat="1" ht="30" x14ac:dyDescent="0.25">
      <c r="A54" s="73">
        <v>48</v>
      </c>
      <c r="B54" s="32" t="s">
        <v>171</v>
      </c>
      <c r="C54" s="103">
        <v>67.3</v>
      </c>
      <c r="D54" s="104">
        <v>31223</v>
      </c>
      <c r="E54" s="104">
        <v>45958</v>
      </c>
      <c r="F54" s="55">
        <f t="shared" si="4"/>
        <v>1.4719277455721744</v>
      </c>
      <c r="G54" s="108">
        <v>24724.066999999999</v>
      </c>
      <c r="H54" s="109">
        <v>298.81911000000002</v>
      </c>
      <c r="I54" s="108">
        <v>369.584</v>
      </c>
      <c r="J54" s="108">
        <f t="shared" si="5"/>
        <v>25392.470109999998</v>
      </c>
      <c r="K54" s="48">
        <f>J54/'Форма 1'!R55</f>
        <v>0.46821503256229685</v>
      </c>
      <c r="L54" s="108">
        <v>7451.7475599999998</v>
      </c>
      <c r="M54" s="109">
        <v>87.351060000000004</v>
      </c>
      <c r="N54" s="108">
        <v>111.616</v>
      </c>
      <c r="O54" s="107">
        <f t="shared" si="2"/>
        <v>7650.7146199999997</v>
      </c>
      <c r="P54" s="65"/>
      <c r="Q54" s="66"/>
    </row>
    <row r="55" spans="1:17" ht="15.75" x14ac:dyDescent="0.25">
      <c r="A55" s="73">
        <v>49</v>
      </c>
      <c r="B55" s="32" t="s">
        <v>172</v>
      </c>
      <c r="C55" s="103">
        <v>28.3</v>
      </c>
      <c r="D55" s="104">
        <v>29386</v>
      </c>
      <c r="E55" s="104">
        <v>55300</v>
      </c>
      <c r="F55" s="55">
        <f t="shared" si="4"/>
        <v>1.8818484992853739</v>
      </c>
      <c r="G55" s="108">
        <v>9361.1626199999992</v>
      </c>
      <c r="H55" s="109">
        <v>0</v>
      </c>
      <c r="I55" s="108">
        <v>929.27814999999998</v>
      </c>
      <c r="J55" s="108">
        <f>SUM(G55:I55)</f>
        <v>10290.440769999999</v>
      </c>
      <c r="K55" s="48">
        <f>J55/'Форма 1'!R56</f>
        <v>0.52719165707077198</v>
      </c>
      <c r="L55" s="108">
        <v>2827.7018600000001</v>
      </c>
      <c r="M55" s="109">
        <v>0</v>
      </c>
      <c r="N55" s="108">
        <v>280.01125000000002</v>
      </c>
      <c r="O55" s="107">
        <f t="shared" si="2"/>
        <v>3107.7131100000001</v>
      </c>
      <c r="P55" s="39"/>
      <c r="Q55" s="26"/>
    </row>
    <row r="56" spans="1:17" ht="15.75" x14ac:dyDescent="0.25">
      <c r="A56" s="73">
        <v>50</v>
      </c>
      <c r="B56" s="32" t="s">
        <v>173</v>
      </c>
      <c r="C56" s="103">
        <v>32.9</v>
      </c>
      <c r="D56" s="104">
        <v>33336</v>
      </c>
      <c r="E56" s="104">
        <v>51150</v>
      </c>
      <c r="F56" s="55">
        <f t="shared" si="4"/>
        <v>1.5343772498200143</v>
      </c>
      <c r="G56" s="108">
        <v>12283.530940000001</v>
      </c>
      <c r="H56" s="109">
        <v>0</v>
      </c>
      <c r="I56" s="108">
        <v>1091.4548</v>
      </c>
      <c r="J56" s="108">
        <f>SUM(G56:I56)</f>
        <v>13374.98574</v>
      </c>
      <c r="K56" s="48">
        <f>J56/'Форма 1'!R57</f>
        <v>0.55401255477790479</v>
      </c>
      <c r="L56" s="108">
        <v>3701.9652099999998</v>
      </c>
      <c r="M56" s="109">
        <v>0</v>
      </c>
      <c r="N56" s="108">
        <v>329.62</v>
      </c>
      <c r="O56" s="107">
        <f>SUM(L56:N56)</f>
        <v>4031.5852099999997</v>
      </c>
      <c r="P56" s="39"/>
      <c r="Q56" s="26"/>
    </row>
    <row r="57" spans="1:17" ht="30" x14ac:dyDescent="0.25">
      <c r="A57" s="73">
        <v>51</v>
      </c>
      <c r="B57" s="32" t="s">
        <v>174</v>
      </c>
      <c r="C57" s="103">
        <v>22.6</v>
      </c>
      <c r="D57" s="104">
        <v>33442</v>
      </c>
      <c r="E57" s="104">
        <v>54600</v>
      </c>
      <c r="F57" s="55">
        <f t="shared" si="4"/>
        <v>1.6326774714430956</v>
      </c>
      <c r="G57" s="108">
        <v>8300.3606</v>
      </c>
      <c r="H57" s="109">
        <v>0</v>
      </c>
      <c r="I57" s="108">
        <v>1022.928</v>
      </c>
      <c r="J57" s="108">
        <f>SUM(G57:I57)</f>
        <v>9323.2885999999999</v>
      </c>
      <c r="K57" s="48">
        <f>J57/'Форма 1'!R58</f>
        <v>0.60644606137616697</v>
      </c>
      <c r="L57" s="108">
        <v>2506.7043899999999</v>
      </c>
      <c r="M57" s="109">
        <v>0</v>
      </c>
      <c r="N57" s="108">
        <v>308.92880000000002</v>
      </c>
      <c r="O57" s="107">
        <f t="shared" si="2"/>
        <v>2815.63319</v>
      </c>
      <c r="P57" s="39"/>
      <c r="Q57" s="26"/>
    </row>
    <row r="58" spans="1:17" ht="30" x14ac:dyDescent="0.25">
      <c r="A58" s="73">
        <v>52</v>
      </c>
      <c r="B58" s="32" t="s">
        <v>175</v>
      </c>
      <c r="C58" s="103">
        <v>25.6</v>
      </c>
      <c r="D58" s="104">
        <v>31244</v>
      </c>
      <c r="E58" s="104">
        <v>42050</v>
      </c>
      <c r="F58" s="55">
        <f t="shared" ref="F58:F75" si="6">E58/D58</f>
        <v>1.3458584048137243</v>
      </c>
      <c r="G58" s="108">
        <v>8713.9560099999999</v>
      </c>
      <c r="H58" s="109">
        <v>0</v>
      </c>
      <c r="I58" s="108">
        <v>1013.76</v>
      </c>
      <c r="J58" s="108">
        <f>SUM(G58:I58)</f>
        <v>9727.7160100000001</v>
      </c>
      <c r="K58" s="48">
        <f>J58/'Форма 1'!R59</f>
        <v>0.50530610535038523</v>
      </c>
      <c r="L58" s="108">
        <v>2633.4504999999999</v>
      </c>
      <c r="M58" s="109">
        <v>0</v>
      </c>
      <c r="N58" s="108">
        <v>306.15600000000001</v>
      </c>
      <c r="O58" s="107">
        <f t="shared" si="2"/>
        <v>2939.6064999999999</v>
      </c>
      <c r="P58" s="39"/>
      <c r="Q58" s="26"/>
    </row>
    <row r="59" spans="1:17" ht="15.75" x14ac:dyDescent="0.25">
      <c r="A59" s="73">
        <v>53</v>
      </c>
      <c r="B59" s="32" t="s">
        <v>176</v>
      </c>
      <c r="C59" s="103">
        <v>36.6</v>
      </c>
      <c r="D59" s="104">
        <v>34979</v>
      </c>
      <c r="E59" s="104">
        <v>59700</v>
      </c>
      <c r="F59" s="55">
        <f t="shared" si="6"/>
        <v>1.7067383287115125</v>
      </c>
      <c r="G59" s="108">
        <v>14403.27456</v>
      </c>
      <c r="H59" s="109">
        <v>0</v>
      </c>
      <c r="I59" s="108">
        <v>1256.24</v>
      </c>
      <c r="J59" s="108">
        <f>SUM(G59:I59)</f>
        <v>15659.51456</v>
      </c>
      <c r="K59" s="48">
        <f>J59/'Форма 1'!R60</f>
        <v>0.56667950213815477</v>
      </c>
      <c r="L59" s="108">
        <v>4349.7854200000002</v>
      </c>
      <c r="M59" s="109">
        <v>0</v>
      </c>
      <c r="N59" s="108">
        <v>379.38799999999998</v>
      </c>
      <c r="O59" s="107">
        <f t="shared" si="2"/>
        <v>4729.1734200000001</v>
      </c>
      <c r="P59" s="39"/>
      <c r="Q59" s="26"/>
    </row>
    <row r="60" spans="1:17" ht="15.75" x14ac:dyDescent="0.25">
      <c r="A60" s="73">
        <v>54</v>
      </c>
      <c r="B60" s="32" t="s">
        <v>177</v>
      </c>
      <c r="C60" s="103">
        <v>29.4</v>
      </c>
      <c r="D60" s="104">
        <v>30892</v>
      </c>
      <c r="E60" s="104">
        <v>56391</v>
      </c>
      <c r="F60" s="55">
        <f t="shared" si="6"/>
        <v>1.8254240580085459</v>
      </c>
      <c r="G60" s="108">
        <v>10110.03305</v>
      </c>
      <c r="H60" s="109">
        <v>0</v>
      </c>
      <c r="I60" s="108">
        <v>1094.7239999999999</v>
      </c>
      <c r="J60" s="108">
        <f t="shared" ref="J60:J71" si="7">SUM(G60:I60)</f>
        <v>11204.75705</v>
      </c>
      <c r="K60" s="48">
        <f>J60/'Форма 1'!R61</f>
        <v>0.525470790943802</v>
      </c>
      <c r="L60" s="108">
        <v>3053.2334000000001</v>
      </c>
      <c r="M60" s="109">
        <v>0</v>
      </c>
      <c r="N60" s="108">
        <v>330.60320000000002</v>
      </c>
      <c r="O60" s="107">
        <f>SUM(L60:N60)</f>
        <v>3383.8366000000001</v>
      </c>
      <c r="P60" s="39"/>
      <c r="Q60" s="26"/>
    </row>
    <row r="61" spans="1:17" ht="15.75" x14ac:dyDescent="0.25">
      <c r="A61" s="73">
        <v>55</v>
      </c>
      <c r="B61" s="32" t="s">
        <v>178</v>
      </c>
      <c r="C61" s="103">
        <v>47.1</v>
      </c>
      <c r="D61" s="104">
        <v>38500</v>
      </c>
      <c r="E61" s="104">
        <v>78575</v>
      </c>
      <c r="F61" s="55">
        <f t="shared" si="6"/>
        <v>2.040909090909091</v>
      </c>
      <c r="G61" s="108">
        <v>21071.927</v>
      </c>
      <c r="H61" s="109">
        <v>0</v>
      </c>
      <c r="I61" s="108">
        <v>1169.3969999999999</v>
      </c>
      <c r="J61" s="108">
        <f t="shared" si="7"/>
        <v>22241.324000000001</v>
      </c>
      <c r="K61" s="48">
        <f>J61/'Форма 1'!R62</f>
        <v>0.56795631236332833</v>
      </c>
      <c r="L61" s="108">
        <v>6360.2206200000001</v>
      </c>
      <c r="M61" s="109">
        <v>0</v>
      </c>
      <c r="N61" s="108">
        <v>353.15980000000002</v>
      </c>
      <c r="O61" s="107">
        <f t="shared" si="2"/>
        <v>6713.3804200000004</v>
      </c>
      <c r="P61" s="39"/>
      <c r="Q61" s="26"/>
    </row>
    <row r="62" spans="1:17" ht="15.75" x14ac:dyDescent="0.25">
      <c r="A62" s="73">
        <v>56</v>
      </c>
      <c r="B62" s="32" t="s">
        <v>179</v>
      </c>
      <c r="C62" s="103">
        <v>36.6</v>
      </c>
      <c r="D62" s="104">
        <v>37872</v>
      </c>
      <c r="E62" s="104">
        <v>59250</v>
      </c>
      <c r="F62" s="55">
        <f t="shared" si="6"/>
        <v>1.5644803548795945</v>
      </c>
      <c r="G62" s="108">
        <v>15444.90155</v>
      </c>
      <c r="H62" s="109">
        <v>0</v>
      </c>
      <c r="I62" s="108">
        <v>1445.172</v>
      </c>
      <c r="J62" s="108">
        <f t="shared" si="7"/>
        <v>16890.073550000001</v>
      </c>
      <c r="K62" s="48">
        <f>J62/'Форма 1'!R63</f>
        <v>0.60115118334427642</v>
      </c>
      <c r="L62" s="108">
        <v>4664.3637900000003</v>
      </c>
      <c r="M62" s="109">
        <v>0</v>
      </c>
      <c r="N62" s="108">
        <v>436.43860000000001</v>
      </c>
      <c r="O62" s="107">
        <f t="shared" si="2"/>
        <v>5100.8023900000007</v>
      </c>
      <c r="P62" s="39"/>
      <c r="Q62" s="26"/>
    </row>
    <row r="63" spans="1:17" ht="15.75" x14ac:dyDescent="0.25">
      <c r="A63" s="73">
        <v>57</v>
      </c>
      <c r="B63" s="32" t="s">
        <v>180</v>
      </c>
      <c r="C63" s="103">
        <v>43.8</v>
      </c>
      <c r="D63" s="104">
        <v>37998</v>
      </c>
      <c r="E63" s="104">
        <v>73975</v>
      </c>
      <c r="F63" s="55">
        <f t="shared" si="6"/>
        <v>1.9468129901573767</v>
      </c>
      <c r="G63" s="108">
        <v>18631.951059999999</v>
      </c>
      <c r="H63" s="109">
        <v>0</v>
      </c>
      <c r="I63" s="108">
        <v>1771.4849999999999</v>
      </c>
      <c r="J63" s="108">
        <f t="shared" si="7"/>
        <v>20403.43606</v>
      </c>
      <c r="K63" s="48">
        <f>J63/'Форма 1'!R64</f>
        <v>0.32725852182710569</v>
      </c>
      <c r="L63" s="108">
        <v>5625.0830100000003</v>
      </c>
      <c r="M63" s="109">
        <v>0</v>
      </c>
      <c r="N63" s="108">
        <v>534.99035000000003</v>
      </c>
      <c r="O63" s="107">
        <f t="shared" si="2"/>
        <v>6160.0733600000003</v>
      </c>
      <c r="P63" s="39"/>
      <c r="Q63" s="26"/>
    </row>
    <row r="64" spans="1:17" ht="30" x14ac:dyDescent="0.25">
      <c r="A64" s="73">
        <v>58</v>
      </c>
      <c r="B64" s="32" t="s">
        <v>181</v>
      </c>
      <c r="C64" s="103">
        <v>49.3</v>
      </c>
      <c r="D64" s="104">
        <v>27868</v>
      </c>
      <c r="E64" s="104">
        <v>65958</v>
      </c>
      <c r="F64" s="55">
        <f t="shared" si="6"/>
        <v>2.3668006315487298</v>
      </c>
      <c r="G64" s="108">
        <v>15725.04</v>
      </c>
      <c r="H64" s="109">
        <v>0</v>
      </c>
      <c r="I64" s="108">
        <v>1218.6984</v>
      </c>
      <c r="J64" s="108">
        <f t="shared" si="7"/>
        <v>16943.738400000002</v>
      </c>
      <c r="K64" s="48">
        <f>J64/'Форма 1'!R65</f>
        <v>0.54516245362860682</v>
      </c>
      <c r="L64" s="108">
        <v>4724.8455999999996</v>
      </c>
      <c r="M64" s="109">
        <v>0</v>
      </c>
      <c r="N64" s="108">
        <v>368.05090000000001</v>
      </c>
      <c r="O64" s="107">
        <f t="shared" si="2"/>
        <v>5092.8964999999998</v>
      </c>
      <c r="P64" s="39"/>
      <c r="Q64" s="26"/>
    </row>
    <row r="65" spans="1:17" ht="15.75" x14ac:dyDescent="0.25">
      <c r="A65" s="73">
        <v>59</v>
      </c>
      <c r="B65" s="32" t="s">
        <v>182</v>
      </c>
      <c r="C65" s="103">
        <v>37.700000000000003</v>
      </c>
      <c r="D65" s="104">
        <v>31119</v>
      </c>
      <c r="E65" s="104">
        <v>64708</v>
      </c>
      <c r="F65" s="55">
        <f t="shared" si="6"/>
        <v>2.079372730486198</v>
      </c>
      <c r="G65" s="108">
        <v>13537.63445</v>
      </c>
      <c r="H65" s="109">
        <v>0</v>
      </c>
      <c r="I65" s="108">
        <v>1093.2174</v>
      </c>
      <c r="J65" s="108">
        <f t="shared" si="7"/>
        <v>14630.851849999999</v>
      </c>
      <c r="K65" s="48">
        <f>J65/'Форма 1'!R66</f>
        <v>0.53415075460446737</v>
      </c>
      <c r="L65" s="108">
        <v>4088.37075</v>
      </c>
      <c r="M65" s="109">
        <v>0</v>
      </c>
      <c r="N65" s="108">
        <v>330.1465</v>
      </c>
      <c r="O65" s="107">
        <f t="shared" si="2"/>
        <v>4418.5172499999999</v>
      </c>
      <c r="P65" s="39"/>
      <c r="Q65" s="26"/>
    </row>
    <row r="66" spans="1:17" ht="15.75" x14ac:dyDescent="0.25">
      <c r="A66" s="73">
        <v>60</v>
      </c>
      <c r="B66" s="32" t="s">
        <v>183</v>
      </c>
      <c r="C66" s="103">
        <v>22.1</v>
      </c>
      <c r="D66" s="104">
        <v>30905</v>
      </c>
      <c r="E66" s="104">
        <v>51889</v>
      </c>
      <c r="F66" s="55">
        <f t="shared" si="6"/>
        <v>1.6789839831742437</v>
      </c>
      <c r="G66" s="108">
        <v>7735.57</v>
      </c>
      <c r="H66" s="109">
        <v>0</v>
      </c>
      <c r="I66" s="108">
        <v>860.57704999999999</v>
      </c>
      <c r="J66" s="108">
        <f t="shared" si="7"/>
        <v>8596.1470499999996</v>
      </c>
      <c r="K66" s="48">
        <f>J66/'Форма 1'!R67</f>
        <v>0.52681739105042424</v>
      </c>
      <c r="L66" s="108">
        <v>2338.5023700000002</v>
      </c>
      <c r="M66" s="109">
        <v>0</v>
      </c>
      <c r="N66" s="108">
        <v>253.29734999999999</v>
      </c>
      <c r="O66" s="107">
        <f t="shared" si="2"/>
        <v>2591.79972</v>
      </c>
      <c r="P66" s="39"/>
      <c r="Q66" s="26"/>
    </row>
    <row r="67" spans="1:17" ht="30" x14ac:dyDescent="0.25">
      <c r="A67" s="73">
        <v>61</v>
      </c>
      <c r="B67" s="32" t="s">
        <v>184</v>
      </c>
      <c r="C67" s="103">
        <v>25.8</v>
      </c>
      <c r="D67" s="104">
        <v>33837</v>
      </c>
      <c r="E67" s="104">
        <v>41567</v>
      </c>
      <c r="F67" s="55">
        <f t="shared" si="6"/>
        <v>1.2284481484765197</v>
      </c>
      <c r="G67" s="108">
        <v>9464.5040000000008</v>
      </c>
      <c r="H67" s="109">
        <v>0</v>
      </c>
      <c r="I67" s="108">
        <v>1104.0450000000001</v>
      </c>
      <c r="J67" s="108">
        <f t="shared" si="7"/>
        <v>10568.549000000001</v>
      </c>
      <c r="K67" s="48">
        <f>J67/'Форма 1'!R68</f>
        <v>0.53445179869162907</v>
      </c>
      <c r="L67" s="108">
        <v>2858.27882</v>
      </c>
      <c r="M67" s="109">
        <v>0</v>
      </c>
      <c r="N67" s="108">
        <v>333.423</v>
      </c>
      <c r="O67" s="107">
        <f t="shared" si="2"/>
        <v>3191.7018200000002</v>
      </c>
      <c r="P67" s="39"/>
      <c r="Q67" s="26"/>
    </row>
    <row r="68" spans="1:17" ht="15.75" x14ac:dyDescent="0.25">
      <c r="A68" s="73">
        <v>62</v>
      </c>
      <c r="B68" s="32" t="s">
        <v>185</v>
      </c>
      <c r="C68" s="103">
        <v>20.100000000000001</v>
      </c>
      <c r="D68" s="104">
        <v>28932</v>
      </c>
      <c r="E68" s="104">
        <v>57073</v>
      </c>
      <c r="F68" s="55">
        <f t="shared" si="6"/>
        <v>1.9726600304161481</v>
      </c>
      <c r="G68" s="108">
        <v>5315.5360000000001</v>
      </c>
      <c r="H68" s="109">
        <v>470.84111000000001</v>
      </c>
      <c r="I68" s="108">
        <v>1599.181</v>
      </c>
      <c r="J68" s="108">
        <f t="shared" si="7"/>
        <v>7385.5581099999999</v>
      </c>
      <c r="K68" s="48">
        <f>J68/'Форма 1'!R69</f>
        <v>0.74077817887163289</v>
      </c>
      <c r="L68" s="108">
        <v>1595.2758899999999</v>
      </c>
      <c r="M68" s="108">
        <v>139.60789</v>
      </c>
      <c r="N68" s="108">
        <v>482.95119999999997</v>
      </c>
      <c r="O68" s="107">
        <f t="shared" si="2"/>
        <v>2217.8349799999996</v>
      </c>
      <c r="P68" s="39"/>
      <c r="Q68" s="26"/>
    </row>
    <row r="69" spans="1:17" ht="15.75" x14ac:dyDescent="0.25">
      <c r="A69" s="73">
        <v>63</v>
      </c>
      <c r="B69" s="32" t="s">
        <v>186</v>
      </c>
      <c r="C69" s="103">
        <v>13.7</v>
      </c>
      <c r="D69" s="104">
        <v>32795</v>
      </c>
      <c r="E69" s="104">
        <v>46158</v>
      </c>
      <c r="F69" s="55">
        <f t="shared" si="6"/>
        <v>1.4074706510138741</v>
      </c>
      <c r="G69" s="108">
        <v>4070.2039599999998</v>
      </c>
      <c r="H69" s="109">
        <v>55.903010000000002</v>
      </c>
      <c r="I69" s="108">
        <v>1425.7873999999999</v>
      </c>
      <c r="J69" s="108">
        <f t="shared" si="7"/>
        <v>5551.89437</v>
      </c>
      <c r="K69" s="48">
        <f>J69/'Форма 1'!R70</f>
        <v>0.74581268885451213</v>
      </c>
      <c r="L69" s="108">
        <v>1229.19895</v>
      </c>
      <c r="M69" s="109">
        <v>16.8827</v>
      </c>
      <c r="N69" s="108">
        <v>430.59039999999999</v>
      </c>
      <c r="O69" s="107">
        <f t="shared" si="2"/>
        <v>1676.6720500000001</v>
      </c>
      <c r="P69" s="39"/>
      <c r="Q69" s="26"/>
    </row>
    <row r="70" spans="1:17" ht="15.75" x14ac:dyDescent="0.25">
      <c r="A70" s="73">
        <v>64</v>
      </c>
      <c r="B70" s="32" t="s">
        <v>187</v>
      </c>
      <c r="C70" s="103">
        <v>22.1</v>
      </c>
      <c r="D70" s="104">
        <v>25544</v>
      </c>
      <c r="E70" s="104">
        <v>50225</v>
      </c>
      <c r="F70" s="55">
        <f t="shared" si="6"/>
        <v>1.9662151581584717</v>
      </c>
      <c r="G70" s="108">
        <v>5448.1884600000003</v>
      </c>
      <c r="H70" s="109">
        <v>348.18200000000002</v>
      </c>
      <c r="I70" s="108">
        <v>1274.0899999999999</v>
      </c>
      <c r="J70" s="108">
        <f t="shared" si="7"/>
        <v>7070.4604600000002</v>
      </c>
      <c r="K70" s="48">
        <f>J70/'Форма 1'!R71</f>
        <v>0.69157502918616021</v>
      </c>
      <c r="L70" s="108">
        <v>1645.34275</v>
      </c>
      <c r="M70" s="109">
        <v>104.88120000000001</v>
      </c>
      <c r="N70" s="108">
        <v>384.7722</v>
      </c>
      <c r="O70" s="107">
        <f t="shared" si="2"/>
        <v>2134.9961499999999</v>
      </c>
      <c r="P70" s="39"/>
      <c r="Q70" s="26"/>
    </row>
    <row r="71" spans="1:17" ht="15.75" x14ac:dyDescent="0.25">
      <c r="A71" s="73">
        <v>65</v>
      </c>
      <c r="B71" s="32" t="s">
        <v>188</v>
      </c>
      <c r="C71" s="103">
        <v>14.5</v>
      </c>
      <c r="D71" s="104">
        <v>28214</v>
      </c>
      <c r="E71" s="104">
        <v>52192</v>
      </c>
      <c r="F71" s="55">
        <f t="shared" si="6"/>
        <v>1.8498617707521088</v>
      </c>
      <c r="G71" s="108">
        <v>4494.5</v>
      </c>
      <c r="H71" s="109">
        <v>0</v>
      </c>
      <c r="I71" s="108">
        <v>702.40800000000002</v>
      </c>
      <c r="J71" s="108">
        <f t="shared" si="7"/>
        <v>5196.9080000000004</v>
      </c>
      <c r="K71" s="48">
        <f>J71/'Форма 1'!R72</f>
        <v>0.68208265684069469</v>
      </c>
      <c r="L71" s="108">
        <v>1354.5512699999999</v>
      </c>
      <c r="M71" s="109">
        <v>0</v>
      </c>
      <c r="N71" s="108">
        <v>212.1242</v>
      </c>
      <c r="O71" s="107">
        <f t="shared" si="2"/>
        <v>1566.6754699999999</v>
      </c>
      <c r="P71" s="39"/>
      <c r="Q71" s="26"/>
    </row>
    <row r="72" spans="1:17" ht="30" x14ac:dyDescent="0.25">
      <c r="A72" s="73">
        <v>66</v>
      </c>
      <c r="B72" s="32" t="s">
        <v>189</v>
      </c>
      <c r="C72" s="103">
        <v>0</v>
      </c>
      <c r="D72" s="103">
        <v>0</v>
      </c>
      <c r="E72" s="103">
        <v>0</v>
      </c>
      <c r="F72" s="55" t="e">
        <f t="shared" si="6"/>
        <v>#DIV/0!</v>
      </c>
      <c r="G72" s="103">
        <v>0</v>
      </c>
      <c r="H72" s="103">
        <v>0</v>
      </c>
      <c r="I72" s="103">
        <v>0</v>
      </c>
      <c r="J72" s="103">
        <v>0</v>
      </c>
      <c r="K72" s="48">
        <v>0</v>
      </c>
      <c r="L72" s="103">
        <v>0</v>
      </c>
      <c r="M72" s="103">
        <v>0</v>
      </c>
      <c r="N72" s="103">
        <v>0</v>
      </c>
      <c r="O72" s="102">
        <v>0</v>
      </c>
      <c r="P72" s="39"/>
      <c r="Q72" s="26"/>
    </row>
    <row r="73" spans="1:17" ht="30" x14ac:dyDescent="0.25">
      <c r="A73" s="73">
        <v>67</v>
      </c>
      <c r="B73" s="32" t="s">
        <v>190</v>
      </c>
      <c r="C73" s="103">
        <v>9.9</v>
      </c>
      <c r="D73" s="104">
        <v>33486</v>
      </c>
      <c r="E73" s="104">
        <v>32676</v>
      </c>
      <c r="F73" s="55">
        <f t="shared" si="6"/>
        <v>0.97581078659738396</v>
      </c>
      <c r="G73" s="108">
        <v>2834.9465</v>
      </c>
      <c r="H73" s="109">
        <v>180.45670999999999</v>
      </c>
      <c r="I73" s="108">
        <v>993.197</v>
      </c>
      <c r="J73" s="108">
        <f>SUM(G73:I73)</f>
        <v>4008.6002100000001</v>
      </c>
      <c r="K73" s="48">
        <f>J73/'Форма 1'!R74</f>
        <v>0.53719361282965483</v>
      </c>
      <c r="L73" s="108">
        <v>803.09756000000004</v>
      </c>
      <c r="M73" s="109">
        <v>34.152850000000001</v>
      </c>
      <c r="N73" s="108">
        <v>299.94400000000002</v>
      </c>
      <c r="O73" s="107">
        <f>SUM(L73:N73)</f>
        <v>1137.1944100000001</v>
      </c>
      <c r="P73" s="39"/>
      <c r="Q73" s="26"/>
    </row>
    <row r="74" spans="1:17" ht="30" x14ac:dyDescent="0.25">
      <c r="A74" s="73">
        <v>68</v>
      </c>
      <c r="B74" s="32" t="s">
        <v>191</v>
      </c>
      <c r="C74" s="103">
        <v>7.5</v>
      </c>
      <c r="D74" s="104">
        <v>29896</v>
      </c>
      <c r="E74" s="104">
        <v>40691</v>
      </c>
      <c r="F74" s="55">
        <f t="shared" si="6"/>
        <v>1.3610850949959861</v>
      </c>
      <c r="G74" s="108">
        <v>2132.40049</v>
      </c>
      <c r="H74" s="109">
        <v>177.61634000000001</v>
      </c>
      <c r="I74" s="108">
        <v>510.15800000000002</v>
      </c>
      <c r="J74" s="108">
        <f>SUM(G74:I74)</f>
        <v>2820.1748299999999</v>
      </c>
      <c r="K74" s="48">
        <f>J74/'Форма 1'!R75</f>
        <v>0.74320561970502608</v>
      </c>
      <c r="L74" s="108">
        <v>643.98960999999997</v>
      </c>
      <c r="M74" s="109">
        <v>53.640180000000001</v>
      </c>
      <c r="N74" s="108">
        <v>154.06299999999999</v>
      </c>
      <c r="O74" s="107">
        <f>SUM(L74:N74)</f>
        <v>851.69278999999995</v>
      </c>
      <c r="P74" s="39"/>
      <c r="Q74" s="26"/>
    </row>
    <row r="75" spans="1:17" ht="15.75" x14ac:dyDescent="0.25">
      <c r="A75" s="73">
        <v>69</v>
      </c>
      <c r="B75" s="32" t="s">
        <v>192</v>
      </c>
      <c r="C75" s="103">
        <v>22.3</v>
      </c>
      <c r="D75" s="104">
        <v>25921</v>
      </c>
      <c r="E75" s="104">
        <v>46808</v>
      </c>
      <c r="F75" s="55">
        <f t="shared" si="6"/>
        <v>1.8057945295320397</v>
      </c>
      <c r="G75" s="108">
        <v>5890.4355800000003</v>
      </c>
      <c r="H75" s="109">
        <v>205.00253000000001</v>
      </c>
      <c r="I75" s="108">
        <v>1091.7</v>
      </c>
      <c r="J75" s="108">
        <f>SUM(G75:I75)</f>
        <v>7187.1381099999999</v>
      </c>
      <c r="K75" s="48">
        <f>J75/'Форма 1'!R76</f>
        <v>0.71988738220878745</v>
      </c>
      <c r="L75" s="108">
        <v>1779.96416</v>
      </c>
      <c r="M75" s="109">
        <v>61.941380000000002</v>
      </c>
      <c r="N75" s="108">
        <v>329.69220000000001</v>
      </c>
      <c r="O75" s="107">
        <f>SUM(L75:N75)</f>
        <v>2171.5977400000002</v>
      </c>
      <c r="P75" s="39"/>
      <c r="Q75" s="26"/>
    </row>
    <row r="76" spans="1:17" ht="15.75" x14ac:dyDescent="0.25">
      <c r="A76" s="73">
        <v>70</v>
      </c>
      <c r="B76" s="32" t="s">
        <v>193</v>
      </c>
      <c r="C76" s="103">
        <v>16.3</v>
      </c>
      <c r="D76" s="104">
        <v>39275</v>
      </c>
      <c r="E76" s="104">
        <v>44683</v>
      </c>
      <c r="F76" s="55"/>
      <c r="G76" s="108">
        <v>5837.46461</v>
      </c>
      <c r="H76" s="109">
        <v>300.43603999999999</v>
      </c>
      <c r="I76" s="108">
        <v>1609.0927999999999</v>
      </c>
      <c r="J76" s="108">
        <f>SUM(G76:I76)</f>
        <v>7746.9934499999999</v>
      </c>
      <c r="K76" s="48">
        <f>J76/'Форма 1'!R77</f>
        <v>0.67271779483229543</v>
      </c>
      <c r="L76" s="108">
        <v>1777.3056300000001</v>
      </c>
      <c r="M76" s="109">
        <v>90.731700000000004</v>
      </c>
      <c r="N76" s="108">
        <v>485.94400000000002</v>
      </c>
      <c r="O76" s="107">
        <f>SUM(L76:N76)</f>
        <v>2353.9813300000001</v>
      </c>
      <c r="P76" s="39"/>
      <c r="Q76" s="26"/>
    </row>
    <row r="77" spans="1:17" ht="45" x14ac:dyDescent="0.25">
      <c r="A77" s="73">
        <v>71</v>
      </c>
      <c r="B77" s="32" t="s">
        <v>79</v>
      </c>
      <c r="C77" s="54">
        <v>53.5</v>
      </c>
      <c r="D77" s="54">
        <v>34969.5</v>
      </c>
      <c r="E77" s="54">
        <v>50441.7</v>
      </c>
      <c r="F77" s="55">
        <f>E77/D77</f>
        <v>1.4424484193368505</v>
      </c>
      <c r="G77" s="56">
        <v>13351.348410000001</v>
      </c>
      <c r="H77" s="56">
        <v>0</v>
      </c>
      <c r="I77" s="56">
        <v>8835.9110400000009</v>
      </c>
      <c r="J77" s="56">
        <f>G77+H77+I77</f>
        <v>22187.259450000001</v>
      </c>
      <c r="K77" s="48">
        <f>J77/'Форма 1'!R78</f>
        <v>0.59883642619859889</v>
      </c>
      <c r="L77" s="56">
        <v>3848.1062700000002</v>
      </c>
      <c r="M77" s="56">
        <v>0</v>
      </c>
      <c r="N77" s="56">
        <v>2762.3889600000002</v>
      </c>
      <c r="O77" s="56">
        <f>L77+M77+N77</f>
        <v>6610.4952300000004</v>
      </c>
      <c r="P77" s="39"/>
      <c r="Q77" s="26"/>
    </row>
    <row r="78" spans="1:17" ht="30" x14ac:dyDescent="0.25">
      <c r="A78" s="73">
        <v>72</v>
      </c>
      <c r="B78" s="32" t="s">
        <v>80</v>
      </c>
      <c r="C78" s="54">
        <v>9.6999999999999993</v>
      </c>
      <c r="D78" s="54">
        <v>26737.5</v>
      </c>
      <c r="E78" s="54">
        <v>43266.7</v>
      </c>
      <c r="F78" s="55">
        <f>E78/D78</f>
        <v>1.6182028985507246</v>
      </c>
      <c r="G78" s="56">
        <v>3436.2878099999998</v>
      </c>
      <c r="H78" s="48">
        <v>0</v>
      </c>
      <c r="I78" s="56">
        <v>596.94321000000002</v>
      </c>
      <c r="J78" s="56">
        <f t="shared" ref="J78:J93" si="8">G78+H78+I78</f>
        <v>4033.2310199999997</v>
      </c>
      <c r="K78" s="48">
        <f>J78/'Форма 1'!R79</f>
        <v>0.50698964677330538</v>
      </c>
      <c r="L78" s="56">
        <v>1033.1241600000001</v>
      </c>
      <c r="M78" s="48">
        <v>0</v>
      </c>
      <c r="N78" s="56">
        <v>180.27679000000001</v>
      </c>
      <c r="O78" s="56">
        <f t="shared" ref="O78:O94" si="9">L78+M78+N78</f>
        <v>1213.4009500000002</v>
      </c>
      <c r="P78" s="39"/>
      <c r="Q78" s="26"/>
    </row>
    <row r="79" spans="1:17" ht="30" x14ac:dyDescent="0.25">
      <c r="A79" s="73">
        <v>73</v>
      </c>
      <c r="B79" s="32" t="s">
        <v>81</v>
      </c>
      <c r="C79" s="54">
        <v>2.1</v>
      </c>
      <c r="D79" s="54">
        <v>40348.5</v>
      </c>
      <c r="E79" s="54">
        <v>41916.699999999997</v>
      </c>
      <c r="F79" s="55">
        <f>E79/D79</f>
        <v>1.0388663766930617</v>
      </c>
      <c r="G79" s="56">
        <v>652.42139999999995</v>
      </c>
      <c r="H79" s="48">
        <v>0</v>
      </c>
      <c r="I79" s="56">
        <v>593.86994000000004</v>
      </c>
      <c r="J79" s="56">
        <f t="shared" si="8"/>
        <v>1246.29134</v>
      </c>
      <c r="K79" s="48">
        <f>J79/'Форма 1'!R80</f>
        <v>0.34553257365525186</v>
      </c>
      <c r="L79" s="56">
        <v>196.93271999999999</v>
      </c>
      <c r="M79" s="48">
        <v>0</v>
      </c>
      <c r="N79" s="56">
        <v>179.34873999999999</v>
      </c>
      <c r="O79" s="56">
        <f t="shared" si="9"/>
        <v>376.28145999999998</v>
      </c>
      <c r="P79" s="39"/>
      <c r="Q79" s="26"/>
    </row>
    <row r="80" spans="1:17" ht="30" x14ac:dyDescent="0.25">
      <c r="A80" s="73">
        <v>74</v>
      </c>
      <c r="B80" s="32" t="s">
        <v>82</v>
      </c>
      <c r="C80" s="54">
        <v>3.4</v>
      </c>
      <c r="D80" s="54">
        <v>32975.699999999997</v>
      </c>
      <c r="E80" s="54">
        <v>43425</v>
      </c>
      <c r="F80" s="55">
        <f>E80/D80</f>
        <v>1.3168787925654346</v>
      </c>
      <c r="G80" s="56">
        <v>1112.59564</v>
      </c>
      <c r="H80" s="56">
        <v>0</v>
      </c>
      <c r="I80" s="56">
        <v>850.19464000000005</v>
      </c>
      <c r="J80" s="56">
        <f t="shared" si="8"/>
        <v>1962.7902800000002</v>
      </c>
      <c r="K80" s="48">
        <f>J80/'Форма 1'!R81</f>
        <v>0.51336387221834978</v>
      </c>
      <c r="L80" s="56">
        <v>332.22721000000001</v>
      </c>
      <c r="M80" s="56">
        <v>0</v>
      </c>
      <c r="N80" s="56">
        <v>256.75875000000002</v>
      </c>
      <c r="O80" s="56">
        <f t="shared" si="9"/>
        <v>588.98595999999998</v>
      </c>
      <c r="P80" s="39"/>
      <c r="Q80" s="26"/>
    </row>
    <row r="81" spans="1:17" ht="30" x14ac:dyDescent="0.25">
      <c r="A81" s="73">
        <v>75</v>
      </c>
      <c r="B81" s="32" t="s">
        <v>83</v>
      </c>
      <c r="C81" s="54">
        <v>16.5</v>
      </c>
      <c r="D81" s="54">
        <v>30280.1</v>
      </c>
      <c r="E81" s="54">
        <v>46675</v>
      </c>
      <c r="F81" s="55">
        <v>0</v>
      </c>
      <c r="G81" s="56">
        <v>3778.2474499999998</v>
      </c>
      <c r="H81" s="56">
        <v>0</v>
      </c>
      <c r="I81" s="56">
        <v>3040.3263200000001</v>
      </c>
      <c r="J81" s="56">
        <f t="shared" si="8"/>
        <v>6818.57377</v>
      </c>
      <c r="K81" s="48">
        <f>J81/'Форма 1'!R82</f>
        <v>0.62261286864391774</v>
      </c>
      <c r="L81" s="56">
        <v>1136.7675899999999</v>
      </c>
      <c r="M81" s="56">
        <v>0</v>
      </c>
      <c r="N81" s="56">
        <v>918.17839000000004</v>
      </c>
      <c r="O81" s="56">
        <f t="shared" si="9"/>
        <v>2054.94598</v>
      </c>
      <c r="P81" s="39"/>
      <c r="Q81" s="26"/>
    </row>
    <row r="82" spans="1:17" ht="30" x14ac:dyDescent="0.25">
      <c r="A82" s="73">
        <v>76</v>
      </c>
      <c r="B82" s="32" t="s">
        <v>84</v>
      </c>
      <c r="C82" s="54">
        <v>8.5</v>
      </c>
      <c r="D82" s="54">
        <v>30377.1</v>
      </c>
      <c r="E82" s="54">
        <v>48150</v>
      </c>
      <c r="F82" s="55">
        <f t="shared" ref="F82:F94" si="10">E82/D82</f>
        <v>1.585075599711625</v>
      </c>
      <c r="G82" s="56">
        <v>2638.6775200000002</v>
      </c>
      <c r="H82" s="48">
        <v>0</v>
      </c>
      <c r="I82" s="56">
        <v>913.83092999999997</v>
      </c>
      <c r="J82" s="56">
        <f t="shared" si="8"/>
        <v>3552.5084500000003</v>
      </c>
      <c r="K82" s="48">
        <f>J82/'Форма 1'!R83</f>
        <v>0.48985491173214685</v>
      </c>
      <c r="L82" s="56">
        <v>794.32399999999996</v>
      </c>
      <c r="M82" s="48">
        <v>0</v>
      </c>
      <c r="N82" s="56">
        <v>275.97633999999999</v>
      </c>
      <c r="O82" s="56">
        <f t="shared" si="9"/>
        <v>1070.30034</v>
      </c>
      <c r="P82" s="39"/>
      <c r="Q82" s="26"/>
    </row>
    <row r="83" spans="1:17" ht="45" x14ac:dyDescent="0.25">
      <c r="A83" s="73">
        <v>77</v>
      </c>
      <c r="B83" s="32" t="s">
        <v>85</v>
      </c>
      <c r="C83" s="54">
        <v>15.6</v>
      </c>
      <c r="D83" s="54">
        <v>31901.3</v>
      </c>
      <c r="E83" s="54">
        <v>51241.7</v>
      </c>
      <c r="F83" s="55">
        <f t="shared" si="10"/>
        <v>1.6062574252459931</v>
      </c>
      <c r="G83" s="56">
        <v>4653.2615999999998</v>
      </c>
      <c r="H83" s="48">
        <v>0</v>
      </c>
      <c r="I83" s="56">
        <v>2478.7776699999999</v>
      </c>
      <c r="J83" s="56">
        <f t="shared" si="8"/>
        <v>7132.0392699999993</v>
      </c>
      <c r="K83" s="48">
        <f>J83/'Форма 1'!R84</f>
        <v>0.60801529204941551</v>
      </c>
      <c r="L83" s="56">
        <v>1399.29269</v>
      </c>
      <c r="M83" s="48">
        <v>0</v>
      </c>
      <c r="N83" s="56">
        <v>748.59085000000005</v>
      </c>
      <c r="O83" s="56">
        <f t="shared" si="9"/>
        <v>2147.8835399999998</v>
      </c>
      <c r="P83" s="39"/>
      <c r="Q83" s="26"/>
    </row>
    <row r="84" spans="1:17" ht="45" x14ac:dyDescent="0.25">
      <c r="A84" s="73">
        <v>78</v>
      </c>
      <c r="B84" s="32" t="s">
        <v>94</v>
      </c>
      <c r="C84" s="54">
        <v>4.5</v>
      </c>
      <c r="D84" s="54">
        <v>38690.5</v>
      </c>
      <c r="E84" s="54">
        <v>43675</v>
      </c>
      <c r="F84" s="55">
        <f t="shared" si="10"/>
        <v>1.128830074566108</v>
      </c>
      <c r="G84" s="56">
        <v>1437.22821</v>
      </c>
      <c r="H84" s="48">
        <v>0</v>
      </c>
      <c r="I84" s="56">
        <v>1230.8964699999999</v>
      </c>
      <c r="J84" s="56">
        <f t="shared" si="8"/>
        <v>2668.1246799999999</v>
      </c>
      <c r="K84" s="48">
        <f>J84/'Форма 1'!R85</f>
        <v>0.37802925620709377</v>
      </c>
      <c r="L84" s="56">
        <v>433.56779</v>
      </c>
      <c r="M84" s="48">
        <v>0</v>
      </c>
      <c r="N84" s="56">
        <v>371.73072999999999</v>
      </c>
      <c r="O84" s="56">
        <f t="shared" si="9"/>
        <v>805.29852000000005</v>
      </c>
      <c r="P84" s="39"/>
      <c r="Q84" s="26"/>
    </row>
    <row r="85" spans="1:17" ht="45" x14ac:dyDescent="0.25">
      <c r="A85" s="73">
        <v>79</v>
      </c>
      <c r="B85" s="32" t="s">
        <v>86</v>
      </c>
      <c r="C85" s="54">
        <v>15.2</v>
      </c>
      <c r="D85" s="54">
        <v>30087.4</v>
      </c>
      <c r="E85" s="54">
        <v>51475</v>
      </c>
      <c r="F85" s="55">
        <f t="shared" si="10"/>
        <v>1.7108490597392927</v>
      </c>
      <c r="G85" s="56">
        <v>4811.0441099999998</v>
      </c>
      <c r="H85" s="48">
        <v>0</v>
      </c>
      <c r="I85" s="56">
        <v>2676.5297399999999</v>
      </c>
      <c r="J85" s="56">
        <f t="shared" si="8"/>
        <v>7487.5738499999998</v>
      </c>
      <c r="K85" s="48">
        <f>J85/'Форма 1'!R86</f>
        <v>0.46134808476085981</v>
      </c>
      <c r="L85" s="56">
        <v>1494.1311000000001</v>
      </c>
      <c r="M85" s="48">
        <v>0</v>
      </c>
      <c r="N85" s="56">
        <v>755.57911000000001</v>
      </c>
      <c r="O85" s="56">
        <f t="shared" si="9"/>
        <v>2249.7102100000002</v>
      </c>
      <c r="P85" s="39"/>
      <c r="Q85" s="26"/>
    </row>
    <row r="86" spans="1:17" ht="45" x14ac:dyDescent="0.25">
      <c r="A86" s="73">
        <v>80</v>
      </c>
      <c r="B86" s="32" t="s">
        <v>87</v>
      </c>
      <c r="C86" s="54">
        <v>8.1999999999999993</v>
      </c>
      <c r="D86" s="54">
        <v>29216.400000000001</v>
      </c>
      <c r="E86" s="54">
        <v>47491.7</v>
      </c>
      <c r="F86" s="55">
        <f t="shared" si="10"/>
        <v>1.625515121644008</v>
      </c>
      <c r="G86" s="56">
        <v>1989.07547</v>
      </c>
      <c r="H86" s="48">
        <v>0</v>
      </c>
      <c r="I86" s="56">
        <v>1577.71774</v>
      </c>
      <c r="J86" s="56">
        <f t="shared" si="8"/>
        <v>3566.7932099999998</v>
      </c>
      <c r="K86" s="48">
        <f>J86/'Форма 1'!R87</f>
        <v>0.5540499099945233</v>
      </c>
      <c r="L86" s="56">
        <v>589.26842999999997</v>
      </c>
      <c r="M86" s="48">
        <v>0</v>
      </c>
      <c r="N86" s="56">
        <v>476.47075999999998</v>
      </c>
      <c r="O86" s="56">
        <f t="shared" si="9"/>
        <v>1065.73919</v>
      </c>
      <c r="P86" s="39"/>
      <c r="Q86" s="26"/>
    </row>
    <row r="87" spans="1:17" ht="30" x14ac:dyDescent="0.25">
      <c r="A87" s="73">
        <v>81</v>
      </c>
      <c r="B87" s="32" t="s">
        <v>88</v>
      </c>
      <c r="C87" s="54">
        <v>7.3</v>
      </c>
      <c r="D87" s="54">
        <v>28926.9</v>
      </c>
      <c r="E87" s="54">
        <v>0</v>
      </c>
      <c r="F87" s="55">
        <f t="shared" si="10"/>
        <v>0</v>
      </c>
      <c r="G87" s="56">
        <v>2435.19688</v>
      </c>
      <c r="H87" s="48">
        <v>0</v>
      </c>
      <c r="I87" s="56">
        <v>404.07337999999999</v>
      </c>
      <c r="J87" s="56">
        <f t="shared" si="8"/>
        <v>2839.2702599999998</v>
      </c>
      <c r="K87" s="48">
        <f>J87/'Форма 1'!R88</f>
        <v>0.5581031165641438</v>
      </c>
      <c r="L87" s="56">
        <v>714.22388000000001</v>
      </c>
      <c r="M87" s="48">
        <v>0</v>
      </c>
      <c r="N87" s="56">
        <v>138.52316999999999</v>
      </c>
      <c r="O87" s="56">
        <f t="shared" si="9"/>
        <v>852.74704999999994</v>
      </c>
      <c r="P87" s="39"/>
      <c r="Q87" s="26"/>
    </row>
    <row r="88" spans="1:17" ht="45" x14ac:dyDescent="0.25">
      <c r="A88" s="73">
        <v>82</v>
      </c>
      <c r="B88" s="32" t="s">
        <v>89</v>
      </c>
      <c r="C88" s="54">
        <v>11.1</v>
      </c>
      <c r="D88" s="54">
        <v>31372.1</v>
      </c>
      <c r="E88" s="54">
        <v>45316.7</v>
      </c>
      <c r="F88" s="55">
        <f t="shared" si="10"/>
        <v>1.4444904867700918</v>
      </c>
      <c r="G88" s="56">
        <v>2997.65353</v>
      </c>
      <c r="H88" s="48">
        <v>0</v>
      </c>
      <c r="I88" s="56">
        <v>2340.7959300000002</v>
      </c>
      <c r="J88" s="56">
        <f t="shared" si="8"/>
        <v>5338.4494599999998</v>
      </c>
      <c r="K88" s="48">
        <f>J88/'Форма 1'!R89</f>
        <v>0.64117150383851573</v>
      </c>
      <c r="L88" s="56">
        <v>898.51175000000001</v>
      </c>
      <c r="M88" s="48">
        <v>0</v>
      </c>
      <c r="N88" s="56">
        <v>713.00906999999995</v>
      </c>
      <c r="O88" s="56">
        <f t="shared" si="9"/>
        <v>1611.52082</v>
      </c>
      <c r="P88" s="39"/>
      <c r="Q88" s="26"/>
    </row>
    <row r="89" spans="1:17" ht="45" x14ac:dyDescent="0.25">
      <c r="A89" s="73">
        <v>83</v>
      </c>
      <c r="B89" s="32" t="s">
        <v>103</v>
      </c>
      <c r="C89" s="54">
        <v>2.5</v>
      </c>
      <c r="D89" s="54">
        <v>29355.599999999999</v>
      </c>
      <c r="E89" s="54">
        <v>45933.3</v>
      </c>
      <c r="F89" s="55">
        <f t="shared" si="10"/>
        <v>1.564720189674202</v>
      </c>
      <c r="G89" s="56">
        <v>719.49090999999999</v>
      </c>
      <c r="H89" s="48">
        <v>0</v>
      </c>
      <c r="I89" s="56">
        <v>638.23532999999998</v>
      </c>
      <c r="J89" s="56">
        <f t="shared" si="8"/>
        <v>1357.72624</v>
      </c>
      <c r="K89" s="48">
        <f>J89/'Форма 1'!R90</f>
        <v>0.52858787983446121</v>
      </c>
      <c r="L89" s="56">
        <v>216.89729</v>
      </c>
      <c r="M89" s="48">
        <v>0</v>
      </c>
      <c r="N89" s="56">
        <v>193.13601</v>
      </c>
      <c r="O89" s="56">
        <f t="shared" si="9"/>
        <v>410.0333</v>
      </c>
      <c r="P89" s="39"/>
      <c r="Q89" s="26"/>
    </row>
    <row r="90" spans="1:17" ht="45" x14ac:dyDescent="0.25">
      <c r="A90" s="73">
        <v>84</v>
      </c>
      <c r="B90" s="32" t="s">
        <v>90</v>
      </c>
      <c r="C90" s="54">
        <v>9.1999999999999993</v>
      </c>
      <c r="D90" s="54">
        <v>32340.45</v>
      </c>
      <c r="E90" s="54">
        <v>60625</v>
      </c>
      <c r="F90" s="55">
        <f t="shared" si="10"/>
        <v>1.8745873975161136</v>
      </c>
      <c r="G90" s="56">
        <v>4424.8823700000003</v>
      </c>
      <c r="H90" s="48">
        <v>257.29991999999999</v>
      </c>
      <c r="I90" s="56">
        <v>754.09370999999999</v>
      </c>
      <c r="J90" s="56">
        <f t="shared" si="8"/>
        <v>5436.2760000000007</v>
      </c>
      <c r="K90" s="48">
        <f>J90/'Форма 1'!R91</f>
        <v>0.65144358332858954</v>
      </c>
      <c r="L90" s="56">
        <v>1333.7389000000001</v>
      </c>
      <c r="M90" s="48">
        <v>77.704560000000001</v>
      </c>
      <c r="N90" s="56">
        <v>227.73629</v>
      </c>
      <c r="O90" s="56">
        <f t="shared" si="9"/>
        <v>1639.17975</v>
      </c>
      <c r="P90" s="39"/>
      <c r="Q90" s="26"/>
    </row>
    <row r="91" spans="1:17" ht="45" x14ac:dyDescent="0.25">
      <c r="A91" s="73">
        <v>85</v>
      </c>
      <c r="B91" s="32" t="s">
        <v>91</v>
      </c>
      <c r="C91" s="54">
        <v>13.1</v>
      </c>
      <c r="D91" s="54">
        <v>29607.439999999999</v>
      </c>
      <c r="E91" s="54">
        <v>38858.300000000003</v>
      </c>
      <c r="F91" s="55">
        <f t="shared" si="10"/>
        <v>1.3124505191938245</v>
      </c>
      <c r="G91" s="56">
        <v>4833.1615199999997</v>
      </c>
      <c r="H91" s="48">
        <v>0</v>
      </c>
      <c r="I91" s="56">
        <v>1046.5839000000001</v>
      </c>
      <c r="J91" s="56">
        <f t="shared" si="8"/>
        <v>5879.7454199999993</v>
      </c>
      <c r="K91" s="48">
        <f>J91/'Форма 1'!R92</f>
        <v>0.6531452466991754</v>
      </c>
      <c r="L91" s="56">
        <v>1439.5061599999999</v>
      </c>
      <c r="M91" s="48">
        <v>0</v>
      </c>
      <c r="N91" s="56">
        <v>316.06828999999999</v>
      </c>
      <c r="O91" s="56">
        <f t="shared" si="9"/>
        <v>1755.5744499999998</v>
      </c>
      <c r="P91" s="39"/>
      <c r="Q91" s="26"/>
    </row>
    <row r="92" spans="1:17" ht="45" x14ac:dyDescent="0.25">
      <c r="A92" s="73">
        <v>86</v>
      </c>
      <c r="B92" s="32" t="s">
        <v>92</v>
      </c>
      <c r="C92" s="54">
        <v>22.2</v>
      </c>
      <c r="D92" s="54">
        <v>29002.75</v>
      </c>
      <c r="E92" s="54">
        <v>71241.7</v>
      </c>
      <c r="F92" s="55">
        <f t="shared" si="10"/>
        <v>2.4563774124867468</v>
      </c>
      <c r="G92" s="56">
        <v>8297.3450499999999</v>
      </c>
      <c r="H92" s="48">
        <v>0</v>
      </c>
      <c r="I92" s="56">
        <v>1720.38167</v>
      </c>
      <c r="J92" s="56">
        <f t="shared" si="8"/>
        <v>10017.726720000001</v>
      </c>
      <c r="K92" s="48">
        <f>J92/'Форма 1'!R93</f>
        <v>0.69353886030824996</v>
      </c>
      <c r="L92" s="56">
        <v>2481.9342999999999</v>
      </c>
      <c r="M92" s="48">
        <v>0</v>
      </c>
      <c r="N92" s="56">
        <v>519.55523000000005</v>
      </c>
      <c r="O92" s="56">
        <f t="shared" si="9"/>
        <v>3001.4895299999998</v>
      </c>
      <c r="P92" s="39"/>
      <c r="Q92" s="26"/>
    </row>
    <row r="93" spans="1:17" ht="45" x14ac:dyDescent="0.25">
      <c r="A93" s="73">
        <v>87</v>
      </c>
      <c r="B93" s="32" t="s">
        <v>93</v>
      </c>
      <c r="C93" s="54">
        <v>14.8</v>
      </c>
      <c r="D93" s="54">
        <v>36562.35</v>
      </c>
      <c r="E93" s="54">
        <v>0</v>
      </c>
      <c r="F93" s="55">
        <f t="shared" si="10"/>
        <v>0</v>
      </c>
      <c r="G93" s="56">
        <v>5483.8585499999999</v>
      </c>
      <c r="H93" s="48">
        <v>0</v>
      </c>
      <c r="I93" s="56">
        <v>775.72226000000001</v>
      </c>
      <c r="J93" s="56">
        <f t="shared" si="8"/>
        <v>6259.5808099999995</v>
      </c>
      <c r="K93" s="48">
        <f>J93/'Форма 1'!R94</f>
        <v>0.68368553321989922</v>
      </c>
      <c r="L93" s="56">
        <v>1636.4787699999999</v>
      </c>
      <c r="M93" s="48">
        <v>0</v>
      </c>
      <c r="N93" s="56">
        <v>234.26811000000001</v>
      </c>
      <c r="O93" s="56">
        <f t="shared" si="9"/>
        <v>1870.7468799999999</v>
      </c>
      <c r="P93" s="39"/>
      <c r="Q93" s="26"/>
    </row>
    <row r="94" spans="1:17" x14ac:dyDescent="0.25">
      <c r="A94" s="73">
        <v>88</v>
      </c>
      <c r="B94" s="32" t="s">
        <v>96</v>
      </c>
      <c r="C94" s="54">
        <v>5</v>
      </c>
      <c r="D94" s="54">
        <v>32638.14</v>
      </c>
      <c r="E94" s="54">
        <v>29934.39</v>
      </c>
      <c r="F94" s="55">
        <f t="shared" si="10"/>
        <v>0.91715980138574071</v>
      </c>
      <c r="G94" s="56">
        <v>2206.0682700000002</v>
      </c>
      <c r="H94" s="48">
        <v>83.7</v>
      </c>
      <c r="I94" s="56">
        <v>408.44851999999997</v>
      </c>
      <c r="J94" s="56">
        <f>G94+H94+I94</f>
        <v>2698.2167899999999</v>
      </c>
      <c r="K94" s="48">
        <f>J94/'Форма 1'!R95</f>
        <v>0.25937243258865234</v>
      </c>
      <c r="L94" s="56">
        <v>676.23172999999997</v>
      </c>
      <c r="M94" s="48">
        <v>25.2774</v>
      </c>
      <c r="N94" s="56">
        <v>123.35148</v>
      </c>
      <c r="O94" s="56">
        <f t="shared" si="9"/>
        <v>824.86060999999995</v>
      </c>
      <c r="P94" s="39"/>
      <c r="Q94" s="26"/>
    </row>
    <row r="95" spans="1:17" s="28" customFormat="1" ht="33" customHeight="1" x14ac:dyDescent="0.25">
      <c r="A95" s="27"/>
      <c r="B95" s="41" t="s">
        <v>18</v>
      </c>
      <c r="C95" s="57">
        <f>SUM(C7:C94)</f>
        <v>2852.6</v>
      </c>
      <c r="D95" s="57">
        <f>AVERAGE(D7:D94)</f>
        <v>32252.781022727278</v>
      </c>
      <c r="E95" s="57">
        <f>AVERAGE(E7:E94)</f>
        <v>52657.589659090918</v>
      </c>
      <c r="F95" s="52">
        <f>E95/D95</f>
        <v>1.6326526888327915</v>
      </c>
      <c r="G95" s="52">
        <f>SUM(G7:G94)</f>
        <v>1041879.8793699997</v>
      </c>
      <c r="H95" s="52">
        <f>SUM(H7:H94)</f>
        <v>4872.4612899999993</v>
      </c>
      <c r="I95" s="52">
        <f>SUM(I7:I94)</f>
        <v>146847.48012999998</v>
      </c>
      <c r="J95" s="52">
        <f>SUM(J7:J94)</f>
        <v>1193599.82079</v>
      </c>
      <c r="K95" s="50">
        <f>J95/'Форма 1'!R96</f>
        <v>0.53629374879498937</v>
      </c>
      <c r="L95" s="52">
        <f>SUM(L7:L94)</f>
        <v>314125.12036</v>
      </c>
      <c r="M95" s="52">
        <f>SUM(M7:M94)</f>
        <v>1443.7036299999997</v>
      </c>
      <c r="N95" s="52">
        <f>SUM(N7:N94)</f>
        <v>44404.472810000014</v>
      </c>
      <c r="O95" s="52">
        <f>SUM(O7:O94)</f>
        <v>359973.29680000001</v>
      </c>
      <c r="P95" s="3"/>
      <c r="Q95" s="26"/>
    </row>
    <row r="96" spans="1:17" x14ac:dyDescent="0.25">
      <c r="G96" s="42"/>
      <c r="H96" s="42"/>
      <c r="I96" s="42"/>
      <c r="J96" s="42"/>
    </row>
    <row r="97" spans="7:10" x14ac:dyDescent="0.25">
      <c r="G97" s="29"/>
      <c r="H97" s="29"/>
      <c r="I97" s="29"/>
      <c r="J97" s="29"/>
    </row>
  </sheetData>
  <autoFilter ref="A5:P95">
    <filterColumn colId="6" showButton="0"/>
    <filterColumn colId="7" showButton="0"/>
    <filterColumn colId="8" showButton="0"/>
    <filterColumn colId="11" showButton="0"/>
    <filterColumn colId="12" showButton="0"/>
    <filterColumn colId="13" showButton="0"/>
  </autoFilter>
  <mergeCells count="10">
    <mergeCell ref="K5:K6"/>
    <mergeCell ref="L5:O5"/>
    <mergeCell ref="D2:J2"/>
    <mergeCell ref="A5:A6"/>
    <mergeCell ref="B5:B6"/>
    <mergeCell ref="C5:C6"/>
    <mergeCell ref="D5:D6"/>
    <mergeCell ref="E5:E6"/>
    <mergeCell ref="F5:F6"/>
    <mergeCell ref="G5:J5"/>
  </mergeCells>
  <pageMargins left="0.15748031496062992" right="0.15748031496062992" top="0.27559055118110237" bottom="0.27559055118110237" header="0.15748031496062992" footer="0.15748031496062992"/>
  <pageSetup paperSize="9" scale="57" fitToHeight="0" orientation="landscape" r:id="rId1"/>
  <rowBreaks count="1" manualBreakCount="1">
    <brk id="1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L97"/>
  <sheetViews>
    <sheetView view="pageBreakPreview" zoomScale="80" zoomScaleNormal="80" zoomScaleSheetLayoutView="80" workbookViewId="0">
      <pane xSplit="2" ySplit="6" topLeftCell="C91" activePane="bottomRight" state="frozen"/>
      <selection activeCell="A8" sqref="A8:A75"/>
      <selection pane="topRight" activeCell="A8" sqref="A8:A75"/>
      <selection pane="bottomLeft" activeCell="A8" sqref="A8:A75"/>
      <selection pane="bottomRight" activeCell="E94" sqref="E77:E94"/>
    </sheetView>
  </sheetViews>
  <sheetFormatPr defaultRowHeight="15" x14ac:dyDescent="0.25"/>
  <cols>
    <col min="1" max="1" width="5" style="3" bestFit="1" customWidth="1"/>
    <col min="2" max="2" width="43" style="3" customWidth="1"/>
    <col min="3" max="3" width="17.140625" style="3" customWidth="1"/>
    <col min="4" max="4" width="17.7109375" style="3" customWidth="1"/>
    <col min="5" max="5" width="11.7109375" style="3" customWidth="1"/>
    <col min="6" max="6" width="15.85546875" style="3" customWidth="1"/>
    <col min="7" max="7" width="17.42578125" style="3" bestFit="1" customWidth="1"/>
    <col min="8" max="8" width="11.7109375" style="3" customWidth="1"/>
    <col min="9" max="9" width="16" style="3" customWidth="1"/>
    <col min="10" max="10" width="16.28515625" style="3" customWidth="1"/>
    <col min="11" max="11" width="15.5703125" style="3" customWidth="1"/>
    <col min="12" max="12" width="20.140625" style="3" customWidth="1"/>
    <col min="13" max="13" width="13" style="3" customWidth="1"/>
    <col min="14" max="14" width="11" style="3" customWidth="1"/>
    <col min="15" max="15" width="14.5703125" style="3" customWidth="1"/>
    <col min="16" max="16" width="14.42578125" style="3" customWidth="1"/>
    <col min="17" max="17" width="13.140625" style="3" customWidth="1"/>
    <col min="18" max="18" width="10.85546875" style="3" bestFit="1" customWidth="1"/>
    <col min="19" max="16384" width="9.140625" style="3"/>
  </cols>
  <sheetData>
    <row r="1" spans="1:64" x14ac:dyDescent="0.25">
      <c r="R1" s="4" t="s">
        <v>42</v>
      </c>
    </row>
    <row r="2" spans="1:64" ht="24.75" customHeight="1" x14ac:dyDescent="0.25">
      <c r="D2" s="157" t="s">
        <v>100</v>
      </c>
      <c r="E2" s="157"/>
      <c r="F2" s="157"/>
      <c r="G2" s="157"/>
      <c r="H2" s="157"/>
      <c r="I2" s="157"/>
      <c r="J2" s="157"/>
    </row>
    <row r="5" spans="1:64" s="31" customFormat="1" ht="51" customHeight="1" x14ac:dyDescent="0.25">
      <c r="A5" s="166" t="s">
        <v>20</v>
      </c>
      <c r="B5" s="166" t="s">
        <v>30</v>
      </c>
      <c r="C5" s="167" t="s">
        <v>43</v>
      </c>
      <c r="D5" s="168"/>
      <c r="E5" s="169"/>
      <c r="F5" s="170" t="s">
        <v>44</v>
      </c>
      <c r="G5" s="170"/>
      <c r="H5" s="170"/>
      <c r="I5" s="170" t="s">
        <v>45</v>
      </c>
      <c r="J5" s="170"/>
      <c r="K5" s="170"/>
      <c r="L5" s="171" t="s">
        <v>46</v>
      </c>
      <c r="M5" s="166" t="s">
        <v>47</v>
      </c>
      <c r="N5" s="166"/>
      <c r="O5" s="166" t="s">
        <v>48</v>
      </c>
      <c r="P5" s="166" t="s">
        <v>49</v>
      </c>
      <c r="Q5" s="166"/>
      <c r="R5" s="166"/>
      <c r="S5" s="3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pans="1:64" s="31" customFormat="1" ht="92.25" customHeight="1" x14ac:dyDescent="0.25">
      <c r="A6" s="166"/>
      <c r="B6" s="166"/>
      <c r="C6" s="46" t="s">
        <v>78</v>
      </c>
      <c r="D6" s="46" t="s">
        <v>50</v>
      </c>
      <c r="E6" s="46" t="s">
        <v>51</v>
      </c>
      <c r="F6" s="46" t="s">
        <v>52</v>
      </c>
      <c r="G6" s="46" t="s">
        <v>53</v>
      </c>
      <c r="H6" s="46" t="s">
        <v>51</v>
      </c>
      <c r="I6" s="46" t="s">
        <v>54</v>
      </c>
      <c r="J6" s="46" t="s">
        <v>53</v>
      </c>
      <c r="K6" s="46" t="s">
        <v>55</v>
      </c>
      <c r="L6" s="171"/>
      <c r="M6" s="46" t="s">
        <v>56</v>
      </c>
      <c r="N6" s="46" t="s">
        <v>57</v>
      </c>
      <c r="O6" s="166"/>
      <c r="P6" s="46" t="s">
        <v>58</v>
      </c>
      <c r="Q6" s="46" t="s">
        <v>59</v>
      </c>
      <c r="R6" s="46" t="s">
        <v>60</v>
      </c>
      <c r="S6" s="3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pans="1:64" ht="30" x14ac:dyDescent="0.25">
      <c r="A7" s="46">
        <v>1</v>
      </c>
      <c r="B7" s="32" t="s">
        <v>124</v>
      </c>
      <c r="C7" s="109">
        <v>448.89208000000002</v>
      </c>
      <c r="D7" s="109">
        <f>C7-448.89208</f>
        <v>0</v>
      </c>
      <c r="E7" s="48">
        <f t="shared" ref="E7:E35" si="0">((C7-D7)/C7)*100</f>
        <v>100</v>
      </c>
      <c r="F7" s="111">
        <v>6805.1032800000003</v>
      </c>
      <c r="G7" s="111">
        <v>138.91884000000027</v>
      </c>
      <c r="H7" s="48">
        <f t="shared" ref="H7:H52" si="1">((F7-G7)/F7)*100</f>
        <v>97.958607911091093</v>
      </c>
      <c r="I7" s="109">
        <f>7419.62936-C7-F7</f>
        <v>165.63400000000001</v>
      </c>
      <c r="J7" s="109">
        <v>0</v>
      </c>
      <c r="K7" s="48">
        <f>((I7-J7)/I7)*100</f>
        <v>100</v>
      </c>
      <c r="L7" s="113">
        <v>1529.7</v>
      </c>
      <c r="M7" s="80">
        <v>0</v>
      </c>
      <c r="N7" s="80">
        <v>0</v>
      </c>
      <c r="O7" s="112">
        <v>0</v>
      </c>
      <c r="P7" s="114">
        <v>0</v>
      </c>
      <c r="Q7" s="114">
        <v>0</v>
      </c>
      <c r="R7" s="114">
        <v>0</v>
      </c>
    </row>
    <row r="8" spans="1:64" ht="30" x14ac:dyDescent="0.25">
      <c r="A8" s="46">
        <v>2</v>
      </c>
      <c r="B8" s="32" t="s">
        <v>125</v>
      </c>
      <c r="C8" s="109">
        <v>5624.06041</v>
      </c>
      <c r="D8" s="109">
        <f>C8-3672.51118</f>
        <v>1951.5492300000001</v>
      </c>
      <c r="E8" s="48">
        <f t="shared" si="0"/>
        <v>65.299995239560388</v>
      </c>
      <c r="F8" s="111">
        <v>3711.05276</v>
      </c>
      <c r="G8" s="111">
        <v>407.25356000000011</v>
      </c>
      <c r="H8" s="48">
        <f t="shared" si="1"/>
        <v>89.02592912745331</v>
      </c>
      <c r="I8" s="109">
        <f>9502.9358-C8-F8</f>
        <v>167.82262999999921</v>
      </c>
      <c r="J8" s="109">
        <v>0</v>
      </c>
      <c r="K8" s="48">
        <f>((I8-J8)/I8)*100</f>
        <v>100</v>
      </c>
      <c r="L8" s="113">
        <v>897.11</v>
      </c>
      <c r="M8" s="80">
        <v>0</v>
      </c>
      <c r="N8" s="80">
        <v>0</v>
      </c>
      <c r="O8" s="112">
        <v>0</v>
      </c>
      <c r="P8" s="114">
        <v>0</v>
      </c>
      <c r="Q8" s="114">
        <v>0</v>
      </c>
      <c r="R8" s="114">
        <v>0</v>
      </c>
    </row>
    <row r="9" spans="1:64" ht="30" x14ac:dyDescent="0.25">
      <c r="A9" s="73">
        <v>3</v>
      </c>
      <c r="B9" s="32" t="s">
        <v>126</v>
      </c>
      <c r="C9" s="109">
        <v>1262.1927900000001</v>
      </c>
      <c r="D9" s="109">
        <f>C9-1014.24787</f>
        <v>247.94492000000002</v>
      </c>
      <c r="E9" s="48">
        <f t="shared" si="0"/>
        <v>80.356018354375166</v>
      </c>
      <c r="F9" s="111">
        <v>5391.6050999999998</v>
      </c>
      <c r="G9" s="111">
        <v>162.99378999999954</v>
      </c>
      <c r="H9" s="48">
        <f t="shared" si="1"/>
        <v>96.976896731550326</v>
      </c>
      <c r="I9" s="109">
        <f>6664.79789-C9-F9</f>
        <v>11</v>
      </c>
      <c r="J9" s="109">
        <v>0</v>
      </c>
      <c r="K9" s="48">
        <f>((I9-J9)/I9)*100</f>
        <v>100</v>
      </c>
      <c r="L9" s="113">
        <v>1086.1099999999999</v>
      </c>
      <c r="M9" s="113">
        <v>205.29</v>
      </c>
      <c r="N9" s="80">
        <v>0</v>
      </c>
      <c r="O9" s="112">
        <v>0</v>
      </c>
      <c r="P9" s="114">
        <v>0</v>
      </c>
      <c r="Q9" s="114">
        <v>0</v>
      </c>
      <c r="R9" s="114">
        <v>0</v>
      </c>
    </row>
    <row r="10" spans="1:64" ht="30" x14ac:dyDescent="0.25">
      <c r="A10" s="73">
        <v>4</v>
      </c>
      <c r="B10" s="32" t="s">
        <v>127</v>
      </c>
      <c r="C10" s="109">
        <v>21984.626049999999</v>
      </c>
      <c r="D10" s="109">
        <f>C10-21777.20913</f>
        <v>207.41691999999966</v>
      </c>
      <c r="E10" s="48">
        <f t="shared" si="0"/>
        <v>99.056536510885991</v>
      </c>
      <c r="F10" s="111">
        <v>3892.8822</v>
      </c>
      <c r="G10" s="111">
        <v>91.927419999999984</v>
      </c>
      <c r="H10" s="48">
        <f t="shared" si="1"/>
        <v>97.638576887839051</v>
      </c>
      <c r="I10" s="109">
        <f>26303.82946-C10-F10</f>
        <v>426.32121000000188</v>
      </c>
      <c r="J10" s="109">
        <v>0</v>
      </c>
      <c r="K10" s="48">
        <f>((I10-J10)/I10)*100</f>
        <v>100</v>
      </c>
      <c r="L10" s="113">
        <v>1644</v>
      </c>
      <c r="M10" s="80">
        <v>0</v>
      </c>
      <c r="N10" s="80">
        <v>0</v>
      </c>
      <c r="O10" s="112">
        <v>0</v>
      </c>
      <c r="P10" s="114">
        <v>0</v>
      </c>
      <c r="Q10" s="114">
        <v>0</v>
      </c>
      <c r="R10" s="114">
        <v>0</v>
      </c>
    </row>
    <row r="11" spans="1:64" ht="30" x14ac:dyDescent="0.25">
      <c r="A11" s="73">
        <v>5</v>
      </c>
      <c r="B11" s="32" t="s">
        <v>128</v>
      </c>
      <c r="C11" s="109">
        <v>256123.72372000001</v>
      </c>
      <c r="D11" s="109">
        <f>C11-687.9534</f>
        <v>255435.77032000001</v>
      </c>
      <c r="E11" s="48">
        <f t="shared" si="0"/>
        <v>0.26860198266993962</v>
      </c>
      <c r="F11" s="111">
        <v>7667.8811800000003</v>
      </c>
      <c r="G11" s="111">
        <v>2360.8883900000001</v>
      </c>
      <c r="H11" s="48">
        <f t="shared" si="1"/>
        <v>69.210681091957142</v>
      </c>
      <c r="I11" s="109">
        <v>0</v>
      </c>
      <c r="J11" s="109">
        <v>0</v>
      </c>
      <c r="K11" s="48">
        <v>0</v>
      </c>
      <c r="L11" s="113">
        <v>4230.2700000000004</v>
      </c>
      <c r="M11" s="80">
        <v>0</v>
      </c>
      <c r="N11" s="80">
        <v>0</v>
      </c>
      <c r="O11" s="112" t="s">
        <v>95</v>
      </c>
      <c r="P11" s="114">
        <v>0</v>
      </c>
      <c r="Q11" s="114">
        <v>0</v>
      </c>
      <c r="R11" s="114">
        <v>0</v>
      </c>
    </row>
    <row r="12" spans="1:64" ht="30" x14ac:dyDescent="0.25">
      <c r="A12" s="73">
        <v>6</v>
      </c>
      <c r="B12" s="32" t="s">
        <v>129</v>
      </c>
      <c r="C12" s="109">
        <v>46004.9139</v>
      </c>
      <c r="D12" s="109">
        <f>C12-4734.25141</f>
        <v>41270.662490000002</v>
      </c>
      <c r="E12" s="48">
        <f t="shared" si="0"/>
        <v>10.290751592951024</v>
      </c>
      <c r="F12" s="111">
        <v>7745.9381700000004</v>
      </c>
      <c r="G12" s="111">
        <v>708.16058000000066</v>
      </c>
      <c r="H12" s="48">
        <f t="shared" si="1"/>
        <v>90.857652559857698</v>
      </c>
      <c r="I12" s="109">
        <f>54210.21917-C12-F12</f>
        <v>459.36709999999675</v>
      </c>
      <c r="J12" s="109">
        <v>0</v>
      </c>
      <c r="K12" s="48">
        <f t="shared" ref="K12:K39" si="2">((I12-J12)/I12)*100</f>
        <v>100</v>
      </c>
      <c r="L12" s="113">
        <v>2320.1999999999998</v>
      </c>
      <c r="M12" s="80">
        <v>0</v>
      </c>
      <c r="N12" s="80">
        <v>0</v>
      </c>
      <c r="O12" s="112">
        <v>0</v>
      </c>
      <c r="P12" s="114">
        <v>0</v>
      </c>
      <c r="Q12" s="114">
        <v>0</v>
      </c>
      <c r="R12" s="114">
        <v>0</v>
      </c>
    </row>
    <row r="13" spans="1:64" ht="30" x14ac:dyDescent="0.25">
      <c r="A13" s="73">
        <v>7</v>
      </c>
      <c r="B13" s="32" t="s">
        <v>130</v>
      </c>
      <c r="C13" s="109">
        <v>842.63991999999996</v>
      </c>
      <c r="D13" s="109">
        <f>C13-523.02936</f>
        <v>319.61055999999996</v>
      </c>
      <c r="E13" s="48">
        <f t="shared" si="0"/>
        <v>62.070327738567144</v>
      </c>
      <c r="F13" s="111">
        <v>5737.2050300000001</v>
      </c>
      <c r="G13" s="111">
        <v>399.53211999999985</v>
      </c>
      <c r="H13" s="48">
        <f t="shared" si="1"/>
        <v>93.036119191996178</v>
      </c>
      <c r="I13" s="109">
        <f>6603.24037-C13-F13</f>
        <v>23.39542000000074</v>
      </c>
      <c r="J13" s="109">
        <v>0</v>
      </c>
      <c r="K13" s="48">
        <f t="shared" si="2"/>
        <v>100</v>
      </c>
      <c r="L13" s="113">
        <f>1945.1+711.8</f>
        <v>2656.8999999999996</v>
      </c>
      <c r="M13" s="80">
        <v>0</v>
      </c>
      <c r="N13" s="113">
        <v>303.10000000000002</v>
      </c>
      <c r="O13" s="112">
        <v>0</v>
      </c>
      <c r="P13" s="114">
        <v>0</v>
      </c>
      <c r="Q13" s="114">
        <v>0</v>
      </c>
      <c r="R13" s="114">
        <v>0</v>
      </c>
    </row>
    <row r="14" spans="1:64" ht="30" x14ac:dyDescent="0.25">
      <c r="A14" s="73">
        <v>8</v>
      </c>
      <c r="B14" s="32" t="s">
        <v>131</v>
      </c>
      <c r="C14" s="109">
        <v>114245.09699999999</v>
      </c>
      <c r="D14" s="109">
        <f>C14-31365.27832</f>
        <v>82879.818679999997</v>
      </c>
      <c r="E14" s="48">
        <f t="shared" si="0"/>
        <v>27.454375849494877</v>
      </c>
      <c r="F14" s="111">
        <v>41669.362719999997</v>
      </c>
      <c r="G14" s="111">
        <v>8787.4736300000004</v>
      </c>
      <c r="H14" s="48">
        <f t="shared" si="1"/>
        <v>78.911427829967067</v>
      </c>
      <c r="I14" s="109">
        <f>156648.65109-C14-F14</f>
        <v>734.19137000000774</v>
      </c>
      <c r="J14" s="109">
        <f>156648.65109-64677.18172-D14-G14</f>
        <v>304.17706000000908</v>
      </c>
      <c r="K14" s="48">
        <f t="shared" si="2"/>
        <v>58.569785422565523</v>
      </c>
      <c r="L14" s="113">
        <v>6621.94</v>
      </c>
      <c r="M14" s="80">
        <v>0</v>
      </c>
      <c r="N14" s="80">
        <v>0</v>
      </c>
      <c r="O14" s="112">
        <v>0</v>
      </c>
      <c r="P14" s="114">
        <v>0</v>
      </c>
      <c r="Q14" s="114">
        <v>0</v>
      </c>
      <c r="R14" s="114">
        <v>0</v>
      </c>
    </row>
    <row r="15" spans="1:64" x14ac:dyDescent="0.25">
      <c r="A15" s="73">
        <v>9</v>
      </c>
      <c r="B15" s="32" t="s">
        <v>132</v>
      </c>
      <c r="C15" s="109">
        <v>4174.9146199999996</v>
      </c>
      <c r="D15" s="109">
        <f>C15-2494.50803</f>
        <v>1680.4065899999996</v>
      </c>
      <c r="E15" s="48">
        <f t="shared" si="0"/>
        <v>59.749917233037934</v>
      </c>
      <c r="F15" s="111">
        <v>25512.211650000001</v>
      </c>
      <c r="G15" s="111">
        <v>4653.7035400000022</v>
      </c>
      <c r="H15" s="48">
        <f t="shared" si="1"/>
        <v>81.75891763582166</v>
      </c>
      <c r="I15" s="109">
        <f>29962.14817-C15-F15</f>
        <v>275.02189999999973</v>
      </c>
      <c r="J15" s="109">
        <f>29962.14817-23628.03804-D15-G15</f>
        <v>0</v>
      </c>
      <c r="K15" s="48">
        <f t="shared" si="2"/>
        <v>100</v>
      </c>
      <c r="L15" s="113">
        <v>2571.86</v>
      </c>
      <c r="M15" s="80">
        <v>0</v>
      </c>
      <c r="N15" s="80">
        <v>0</v>
      </c>
      <c r="O15" s="112">
        <v>0</v>
      </c>
      <c r="P15" s="114">
        <v>0</v>
      </c>
      <c r="Q15" s="114">
        <v>0</v>
      </c>
      <c r="R15" s="114">
        <v>0</v>
      </c>
    </row>
    <row r="16" spans="1:64" x14ac:dyDescent="0.25">
      <c r="A16" s="73">
        <v>10</v>
      </c>
      <c r="B16" s="32" t="s">
        <v>133</v>
      </c>
      <c r="C16" s="109">
        <v>79495.751740000007</v>
      </c>
      <c r="D16" s="109">
        <f>C16-13296.19211</f>
        <v>66199.559630000003</v>
      </c>
      <c r="E16" s="48">
        <f t="shared" si="0"/>
        <v>16.725663722870031</v>
      </c>
      <c r="F16" s="111">
        <v>14336.11714</v>
      </c>
      <c r="G16" s="111">
        <v>835.64902000000075</v>
      </c>
      <c r="H16" s="48">
        <f t="shared" si="1"/>
        <v>94.171022656696849</v>
      </c>
      <c r="I16" s="109">
        <f>93926.2264-C16-F16</f>
        <v>94.357519999992292</v>
      </c>
      <c r="J16" s="109">
        <f>93926.2264-26886.80349-D16-G16</f>
        <v>4.2142599999897357</v>
      </c>
      <c r="K16" s="48">
        <f t="shared" si="2"/>
        <v>95.533731704701353</v>
      </c>
      <c r="L16" s="113">
        <v>3854.9</v>
      </c>
      <c r="M16" s="80">
        <v>0</v>
      </c>
      <c r="N16" s="80">
        <v>0</v>
      </c>
      <c r="O16" s="112">
        <v>0</v>
      </c>
      <c r="P16" s="114">
        <v>0</v>
      </c>
      <c r="Q16" s="114">
        <v>0</v>
      </c>
      <c r="R16" s="114">
        <v>0</v>
      </c>
    </row>
    <row r="17" spans="1:18" ht="30" x14ac:dyDescent="0.25">
      <c r="A17" s="73">
        <v>11</v>
      </c>
      <c r="B17" s="32" t="s">
        <v>134</v>
      </c>
      <c r="C17" s="109">
        <v>5585.21792</v>
      </c>
      <c r="D17" s="109">
        <f>C17-3244.1764</f>
        <v>2341.0415200000002</v>
      </c>
      <c r="E17" s="48">
        <f t="shared" si="0"/>
        <v>58.085046035231514</v>
      </c>
      <c r="F17" s="111">
        <v>16578.19427</v>
      </c>
      <c r="G17" s="111">
        <v>1913.0674799999997</v>
      </c>
      <c r="H17" s="48">
        <f t="shared" si="1"/>
        <v>88.460338630113071</v>
      </c>
      <c r="I17" s="109">
        <f>22247.38119-C17-F17</f>
        <v>83.96900000000096</v>
      </c>
      <c r="J17" s="109">
        <f>22247.38119-17993.27219-D17-G17</f>
        <v>0</v>
      </c>
      <c r="K17" s="48">
        <f t="shared" si="2"/>
        <v>100</v>
      </c>
      <c r="L17" s="113">
        <v>2388.1999999999998</v>
      </c>
      <c r="M17" s="80">
        <v>0</v>
      </c>
      <c r="N17" s="80">
        <v>0</v>
      </c>
      <c r="O17" s="112">
        <v>0</v>
      </c>
      <c r="P17" s="114">
        <v>0</v>
      </c>
      <c r="Q17" s="114">
        <v>0</v>
      </c>
      <c r="R17" s="114">
        <v>0</v>
      </c>
    </row>
    <row r="18" spans="1:18" ht="30" x14ac:dyDescent="0.25">
      <c r="A18" s="73">
        <v>12</v>
      </c>
      <c r="B18" s="32" t="s">
        <v>135</v>
      </c>
      <c r="C18" s="109">
        <v>80361.171719999998</v>
      </c>
      <c r="D18" s="109">
        <f>C18-12467.31064</f>
        <v>67893.861080000002</v>
      </c>
      <c r="E18" s="48">
        <f t="shared" si="0"/>
        <v>15.514097633418626</v>
      </c>
      <c r="F18" s="111">
        <v>21905.545040000001</v>
      </c>
      <c r="G18" s="111">
        <v>2348.0047400000003</v>
      </c>
      <c r="H18" s="48">
        <f t="shared" si="1"/>
        <v>89.281231141647041</v>
      </c>
      <c r="I18" s="109">
        <f>102425.3585-C18-F18</f>
        <v>158.64174000000276</v>
      </c>
      <c r="J18" s="109">
        <v>0</v>
      </c>
      <c r="K18" s="48">
        <f t="shared" si="2"/>
        <v>100</v>
      </c>
      <c r="L18" s="113">
        <v>3862.3</v>
      </c>
      <c r="M18" s="80">
        <v>0</v>
      </c>
      <c r="N18" s="80">
        <v>0</v>
      </c>
      <c r="O18" s="112">
        <v>0</v>
      </c>
      <c r="P18" s="114">
        <v>0</v>
      </c>
      <c r="Q18" s="114">
        <v>0</v>
      </c>
      <c r="R18" s="114">
        <v>0</v>
      </c>
    </row>
    <row r="19" spans="1:18" ht="30" x14ac:dyDescent="0.25">
      <c r="A19" s="73">
        <v>13</v>
      </c>
      <c r="B19" s="32" t="s">
        <v>136</v>
      </c>
      <c r="C19" s="109">
        <v>32055.15712</v>
      </c>
      <c r="D19" s="109">
        <f>C19-16294.97368</f>
        <v>15760.183440000001</v>
      </c>
      <c r="E19" s="48">
        <f t="shared" si="0"/>
        <v>50.834171921226257</v>
      </c>
      <c r="F19" s="111">
        <v>17981.106100000001</v>
      </c>
      <c r="G19" s="111">
        <v>2026.3350400000018</v>
      </c>
      <c r="H19" s="48">
        <f t="shared" si="1"/>
        <v>88.730754222066452</v>
      </c>
      <c r="I19" s="109">
        <f>50136.50122-C19-F19</f>
        <v>100.23799999999756</v>
      </c>
      <c r="J19" s="109">
        <v>0</v>
      </c>
      <c r="K19" s="48">
        <f t="shared" si="2"/>
        <v>100</v>
      </c>
      <c r="L19" s="113">
        <v>2530.6999999999998</v>
      </c>
      <c r="M19" s="80">
        <v>0</v>
      </c>
      <c r="N19" s="80">
        <v>0</v>
      </c>
      <c r="O19" s="112">
        <v>0</v>
      </c>
      <c r="P19" s="114">
        <v>0</v>
      </c>
      <c r="Q19" s="114">
        <v>0</v>
      </c>
      <c r="R19" s="114">
        <v>0</v>
      </c>
    </row>
    <row r="20" spans="1:18" ht="30" x14ac:dyDescent="0.25">
      <c r="A20" s="73">
        <v>14</v>
      </c>
      <c r="B20" s="32" t="s">
        <v>137</v>
      </c>
      <c r="C20" s="109">
        <v>22118.82461</v>
      </c>
      <c r="D20" s="109">
        <f>C20-14386.41465</f>
        <v>7732.409959999999</v>
      </c>
      <c r="E20" s="48">
        <f t="shared" si="0"/>
        <v>65.041497021934219</v>
      </c>
      <c r="F20" s="111">
        <v>27622.944060000002</v>
      </c>
      <c r="G20" s="111">
        <v>7577.5373700000018</v>
      </c>
      <c r="H20" s="48">
        <f t="shared" si="1"/>
        <v>72.567958891200092</v>
      </c>
      <c r="I20" s="109">
        <f>50761.53396-C20-F20</f>
        <v>1019.7652899999994</v>
      </c>
      <c r="J20" s="109">
        <f>50761.53396-35197.69332-D20-G20</f>
        <v>253.89331000000129</v>
      </c>
      <c r="K20" s="48">
        <f t="shared" si="2"/>
        <v>75.102769971705797</v>
      </c>
      <c r="L20" s="113">
        <v>4181.6000000000004</v>
      </c>
      <c r="M20" s="80">
        <v>0</v>
      </c>
      <c r="N20" s="80">
        <v>0</v>
      </c>
      <c r="O20" s="112">
        <v>0</v>
      </c>
      <c r="P20" s="114">
        <v>0</v>
      </c>
      <c r="Q20" s="114">
        <v>0</v>
      </c>
      <c r="R20" s="114">
        <v>0</v>
      </c>
    </row>
    <row r="21" spans="1:18" ht="30" x14ac:dyDescent="0.25">
      <c r="A21" s="73">
        <v>15</v>
      </c>
      <c r="B21" s="32" t="s">
        <v>138</v>
      </c>
      <c r="C21" s="109">
        <v>198726.30634000001</v>
      </c>
      <c r="D21" s="109">
        <f>C21-45120.81974</f>
        <v>153605.4866</v>
      </c>
      <c r="E21" s="48">
        <f t="shared" si="0"/>
        <v>22.705005980840294</v>
      </c>
      <c r="F21" s="111">
        <v>35622.97292</v>
      </c>
      <c r="G21" s="111">
        <v>5555.4243900000001</v>
      </c>
      <c r="H21" s="48">
        <f t="shared" si="1"/>
        <v>84.404938907047296</v>
      </c>
      <c r="I21" s="109">
        <f>236330.32896-C21-F21</f>
        <v>1981.0497000000032</v>
      </c>
      <c r="J21" s="109">
        <f>236330.32896-77137.5169-D21-G21</f>
        <v>31.901070000021718</v>
      </c>
      <c r="K21" s="48">
        <f t="shared" si="2"/>
        <v>98.389688557534839</v>
      </c>
      <c r="L21" s="113">
        <v>7257.79</v>
      </c>
      <c r="M21" s="80">
        <v>0</v>
      </c>
      <c r="N21" s="80">
        <v>0</v>
      </c>
      <c r="O21" s="112">
        <v>0</v>
      </c>
      <c r="P21" s="114">
        <v>0</v>
      </c>
      <c r="Q21" s="114">
        <v>0</v>
      </c>
      <c r="R21" s="114">
        <v>0</v>
      </c>
    </row>
    <row r="22" spans="1:18" x14ac:dyDescent="0.25">
      <c r="A22" s="73">
        <v>16</v>
      </c>
      <c r="B22" s="32" t="s">
        <v>139</v>
      </c>
      <c r="C22" s="109">
        <v>1298016.7393199999</v>
      </c>
      <c r="D22" s="109">
        <f>C22-26790.91968</f>
        <v>1271225.8196399999</v>
      </c>
      <c r="E22" s="48">
        <f t="shared" si="0"/>
        <v>2.0639887659719376</v>
      </c>
      <c r="F22" s="111">
        <v>116327.63824</v>
      </c>
      <c r="G22" s="111">
        <v>33730.098610000001</v>
      </c>
      <c r="H22" s="48">
        <f t="shared" si="1"/>
        <v>71.004226407132805</v>
      </c>
      <c r="I22" s="109">
        <f>1415047.44506-C22-F22</f>
        <v>703.06750000012107</v>
      </c>
      <c r="J22" s="109">
        <f>1415047.44506-109976.49924-D22-G22</f>
        <v>115.02757000013662</v>
      </c>
      <c r="K22" s="48">
        <f t="shared" si="2"/>
        <v>83.639185426702724</v>
      </c>
      <c r="L22" s="113">
        <v>22099.56</v>
      </c>
      <c r="M22" s="80">
        <v>0</v>
      </c>
      <c r="N22" s="80">
        <v>0</v>
      </c>
      <c r="O22" s="112">
        <v>0</v>
      </c>
      <c r="P22" s="114">
        <v>0</v>
      </c>
      <c r="Q22" s="114">
        <v>0</v>
      </c>
      <c r="R22" s="114">
        <v>0</v>
      </c>
    </row>
    <row r="23" spans="1:18" ht="30" x14ac:dyDescent="0.25">
      <c r="A23" s="73">
        <v>17</v>
      </c>
      <c r="B23" s="32" t="s">
        <v>140</v>
      </c>
      <c r="C23" s="109">
        <v>7158.2845900000002</v>
      </c>
      <c r="D23" s="109">
        <f>C23-2433.81665</f>
        <v>4724.4679400000005</v>
      </c>
      <c r="E23" s="48">
        <f t="shared" si="0"/>
        <v>33.999998454937085</v>
      </c>
      <c r="F23" s="111">
        <v>3020.0279500000001</v>
      </c>
      <c r="G23" s="111">
        <v>0</v>
      </c>
      <c r="H23" s="48">
        <f t="shared" si="1"/>
        <v>100</v>
      </c>
      <c r="I23" s="109">
        <f>10427.39454-C23-F23</f>
        <v>249.08199999999897</v>
      </c>
      <c r="J23" s="109">
        <v>0</v>
      </c>
      <c r="K23" s="48">
        <f t="shared" si="2"/>
        <v>100</v>
      </c>
      <c r="L23" s="113">
        <v>1020.8</v>
      </c>
      <c r="M23" s="80">
        <v>0</v>
      </c>
      <c r="N23" s="80">
        <v>0</v>
      </c>
      <c r="O23" s="112">
        <v>0</v>
      </c>
      <c r="P23" s="114">
        <v>0</v>
      </c>
      <c r="Q23" s="114">
        <v>0</v>
      </c>
      <c r="R23" s="114">
        <v>0</v>
      </c>
    </row>
    <row r="24" spans="1:18" ht="30" x14ac:dyDescent="0.25">
      <c r="A24" s="73">
        <v>18</v>
      </c>
      <c r="B24" s="32" t="s">
        <v>141</v>
      </c>
      <c r="C24" s="109">
        <v>10031.931</v>
      </c>
      <c r="D24" s="109">
        <f>C24-5056.07745</f>
        <v>4975.8535500000007</v>
      </c>
      <c r="E24" s="48">
        <f t="shared" si="0"/>
        <v>50.39984276207641</v>
      </c>
      <c r="F24" s="111">
        <v>4266.5542699999996</v>
      </c>
      <c r="G24" s="111">
        <v>92.61648999999943</v>
      </c>
      <c r="H24" s="48">
        <f t="shared" si="1"/>
        <v>97.829243831463103</v>
      </c>
      <c r="I24" s="109">
        <f>15363.66126-C24-F24</f>
        <v>1065.1759900000006</v>
      </c>
      <c r="J24" s="109">
        <f>15363.66126-9861.92443-D24-G24</f>
        <v>433.26679000000149</v>
      </c>
      <c r="K24" s="48">
        <f t="shared" si="2"/>
        <v>59.324393896636629</v>
      </c>
      <c r="L24" s="113">
        <v>1092.5</v>
      </c>
      <c r="M24" s="80">
        <v>0</v>
      </c>
      <c r="N24" s="80">
        <v>0</v>
      </c>
      <c r="O24" s="112">
        <v>0</v>
      </c>
      <c r="P24" s="114">
        <v>0</v>
      </c>
      <c r="Q24" s="114">
        <v>0</v>
      </c>
      <c r="R24" s="114">
        <v>0</v>
      </c>
    </row>
    <row r="25" spans="1:18" ht="30" x14ac:dyDescent="0.25">
      <c r="A25" s="73">
        <v>19</v>
      </c>
      <c r="B25" s="32" t="s">
        <v>142</v>
      </c>
      <c r="C25" s="109">
        <v>470902.20486</v>
      </c>
      <c r="D25" s="109">
        <f>C25-9647.18041</f>
        <v>461255.02445000003</v>
      </c>
      <c r="E25" s="48">
        <f t="shared" si="0"/>
        <v>2.0486590018978768</v>
      </c>
      <c r="F25" s="111">
        <v>16223.978639999999</v>
      </c>
      <c r="G25" s="111">
        <v>2884.0133299999998</v>
      </c>
      <c r="H25" s="48">
        <f t="shared" si="1"/>
        <v>82.223760311854051</v>
      </c>
      <c r="I25" s="109">
        <f>488061.4385-C25-F25</f>
        <v>935.25499999999192</v>
      </c>
      <c r="J25" s="109">
        <v>0</v>
      </c>
      <c r="K25" s="48">
        <f t="shared" si="2"/>
        <v>100</v>
      </c>
      <c r="L25" s="113">
        <v>9865.01</v>
      </c>
      <c r="M25" s="80">
        <v>0</v>
      </c>
      <c r="N25" s="80">
        <v>0</v>
      </c>
      <c r="O25" s="112">
        <v>0</v>
      </c>
      <c r="P25" s="114">
        <v>0</v>
      </c>
      <c r="Q25" s="114">
        <v>0</v>
      </c>
      <c r="R25" s="114">
        <v>0</v>
      </c>
    </row>
    <row r="26" spans="1:18" ht="30" x14ac:dyDescent="0.25">
      <c r="A26" s="73">
        <v>20</v>
      </c>
      <c r="B26" s="32" t="s">
        <v>143</v>
      </c>
      <c r="C26" s="109">
        <v>56439.941899999998</v>
      </c>
      <c r="D26" s="109">
        <f>C26-8671.98868</f>
        <v>47767.953219999996</v>
      </c>
      <c r="E26" s="48">
        <f t="shared" si="0"/>
        <v>15.364985129440756</v>
      </c>
      <c r="F26" s="111">
        <v>5076.9184999999998</v>
      </c>
      <c r="G26" s="111">
        <v>355.95356999999967</v>
      </c>
      <c r="H26" s="48">
        <f t="shared" si="1"/>
        <v>92.988786997467074</v>
      </c>
      <c r="I26" s="109">
        <f>61761.0986-C26-F26</f>
        <v>244.23819999999978</v>
      </c>
      <c r="J26" s="109">
        <v>0</v>
      </c>
      <c r="K26" s="48">
        <f t="shared" si="2"/>
        <v>100</v>
      </c>
      <c r="L26" s="113">
        <v>1673.8</v>
      </c>
      <c r="M26" s="80">
        <v>0</v>
      </c>
      <c r="N26" s="80">
        <v>0</v>
      </c>
      <c r="O26" s="112">
        <v>0</v>
      </c>
      <c r="P26" s="114">
        <v>0</v>
      </c>
      <c r="Q26" s="114">
        <v>0</v>
      </c>
      <c r="R26" s="114">
        <v>0</v>
      </c>
    </row>
    <row r="27" spans="1:18" x14ac:dyDescent="0.25">
      <c r="A27" s="73">
        <v>21</v>
      </c>
      <c r="B27" s="32" t="s">
        <v>144</v>
      </c>
      <c r="C27" s="109">
        <v>4950.9269999999997</v>
      </c>
      <c r="D27" s="109">
        <f>C27-1320.34466</f>
        <v>3630.5823399999999</v>
      </c>
      <c r="E27" s="48">
        <f t="shared" si="0"/>
        <v>26.668635186905398</v>
      </c>
      <c r="F27" s="111">
        <v>2276.4895200000001</v>
      </c>
      <c r="G27" s="111">
        <v>22.615839999999935</v>
      </c>
      <c r="H27" s="48">
        <f t="shared" si="1"/>
        <v>99.006547589992863</v>
      </c>
      <c r="I27" s="109">
        <f>7414.78677-C27-F27</f>
        <v>187.37024999999994</v>
      </c>
      <c r="J27" s="109">
        <v>0</v>
      </c>
      <c r="K27" s="48">
        <f t="shared" si="2"/>
        <v>100</v>
      </c>
      <c r="L27" s="113">
        <v>692.9</v>
      </c>
      <c r="M27" s="80">
        <v>0</v>
      </c>
      <c r="N27" s="80">
        <v>0</v>
      </c>
      <c r="O27" s="112">
        <v>0</v>
      </c>
      <c r="P27" s="114">
        <v>0</v>
      </c>
      <c r="Q27" s="114">
        <v>0</v>
      </c>
      <c r="R27" s="114">
        <v>0</v>
      </c>
    </row>
    <row r="28" spans="1:18" ht="30" x14ac:dyDescent="0.25">
      <c r="A28" s="73">
        <v>22</v>
      </c>
      <c r="B28" s="32" t="s">
        <v>145</v>
      </c>
      <c r="C28" s="109">
        <v>12674.578659999999</v>
      </c>
      <c r="D28" s="109">
        <f>C28-11911.88915</f>
        <v>762.68950999999834</v>
      </c>
      <c r="E28" s="48">
        <f t="shared" si="0"/>
        <v>93.982525727604752</v>
      </c>
      <c r="F28" s="111">
        <v>3798.2736599999998</v>
      </c>
      <c r="G28" s="111">
        <v>124.34838999999965</v>
      </c>
      <c r="H28" s="48">
        <f t="shared" si="1"/>
        <v>96.726186653965328</v>
      </c>
      <c r="I28" s="109">
        <f>16709.99413-C28-F28</f>
        <v>237.14181000000008</v>
      </c>
      <c r="J28" s="109">
        <v>0</v>
      </c>
      <c r="K28" s="48">
        <f t="shared" si="2"/>
        <v>100</v>
      </c>
      <c r="L28" s="113">
        <v>1070</v>
      </c>
      <c r="M28" s="113">
        <v>219.9</v>
      </c>
      <c r="N28" s="80">
        <v>0</v>
      </c>
      <c r="O28" s="112">
        <v>0</v>
      </c>
      <c r="P28" s="114">
        <v>0</v>
      </c>
      <c r="Q28" s="114">
        <v>0</v>
      </c>
      <c r="R28" s="114">
        <v>0</v>
      </c>
    </row>
    <row r="29" spans="1:18" ht="30" x14ac:dyDescent="0.25">
      <c r="A29" s="73">
        <v>23</v>
      </c>
      <c r="B29" s="32" t="s">
        <v>146</v>
      </c>
      <c r="C29" s="109">
        <v>9359.5428900000006</v>
      </c>
      <c r="D29" s="109">
        <f>C29-3856.1316</f>
        <v>5503.41129</v>
      </c>
      <c r="E29" s="48">
        <f t="shared" si="0"/>
        <v>41.19999924483492</v>
      </c>
      <c r="F29" s="111">
        <v>4481.4080100000001</v>
      </c>
      <c r="G29" s="111">
        <v>417.39004999999997</v>
      </c>
      <c r="H29" s="48">
        <f t="shared" si="1"/>
        <v>90.686185032279624</v>
      </c>
      <c r="I29" s="109">
        <f>14281.40194-C29-F29</f>
        <v>440.45103999999901</v>
      </c>
      <c r="J29" s="109">
        <v>0</v>
      </c>
      <c r="K29" s="48">
        <f t="shared" si="2"/>
        <v>100</v>
      </c>
      <c r="L29" s="113">
        <v>996.6</v>
      </c>
      <c r="M29" s="80">
        <v>0</v>
      </c>
      <c r="N29" s="80">
        <v>0</v>
      </c>
      <c r="O29" s="112">
        <v>0</v>
      </c>
      <c r="P29" s="114">
        <v>0</v>
      </c>
      <c r="Q29" s="114">
        <v>0</v>
      </c>
      <c r="R29" s="114">
        <v>0</v>
      </c>
    </row>
    <row r="30" spans="1:18" ht="30" x14ac:dyDescent="0.25">
      <c r="A30" s="73">
        <v>24</v>
      </c>
      <c r="B30" s="32" t="s">
        <v>147</v>
      </c>
      <c r="C30" s="109">
        <v>90.426000000000002</v>
      </c>
      <c r="D30" s="109">
        <f>C30-90.426</f>
        <v>0</v>
      </c>
      <c r="E30" s="48">
        <f t="shared" si="0"/>
        <v>100</v>
      </c>
      <c r="F30" s="111">
        <v>1640.10923</v>
      </c>
      <c r="G30" s="111">
        <v>120.3252500000001</v>
      </c>
      <c r="H30" s="48">
        <f t="shared" si="1"/>
        <v>92.66358314439826</v>
      </c>
      <c r="I30" s="109">
        <f>1838.54333-C30-F30</f>
        <v>108.00810000000001</v>
      </c>
      <c r="J30" s="109">
        <v>0</v>
      </c>
      <c r="K30" s="48">
        <f t="shared" si="2"/>
        <v>100</v>
      </c>
      <c r="L30" s="113">
        <v>355.7</v>
      </c>
      <c r="M30" s="80">
        <v>0</v>
      </c>
      <c r="N30" s="80">
        <v>0</v>
      </c>
      <c r="O30" s="112">
        <v>0</v>
      </c>
      <c r="P30" s="114">
        <v>0</v>
      </c>
      <c r="Q30" s="114">
        <v>0</v>
      </c>
      <c r="R30" s="114">
        <v>0</v>
      </c>
    </row>
    <row r="31" spans="1:18" ht="30" x14ac:dyDescent="0.25">
      <c r="A31" s="73">
        <v>25</v>
      </c>
      <c r="B31" s="32" t="s">
        <v>148</v>
      </c>
      <c r="C31" s="109">
        <v>3612.0757699999999</v>
      </c>
      <c r="D31" s="109">
        <f>C31-1676.79328</f>
        <v>1935.2824899999998</v>
      </c>
      <c r="E31" s="48">
        <f t="shared" si="0"/>
        <v>46.421874478009642</v>
      </c>
      <c r="F31" s="111">
        <v>3874.8265700000002</v>
      </c>
      <c r="G31" s="111">
        <v>285.25411000000031</v>
      </c>
      <c r="H31" s="48">
        <f t="shared" si="1"/>
        <v>92.6382741305503</v>
      </c>
      <c r="I31" s="109">
        <f>7785.90284-C31-F31</f>
        <v>299.00049999999919</v>
      </c>
      <c r="J31" s="109">
        <v>0</v>
      </c>
      <c r="K31" s="48">
        <f t="shared" si="2"/>
        <v>100</v>
      </c>
      <c r="L31" s="113">
        <v>1041.4000000000001</v>
      </c>
      <c r="M31" s="80">
        <v>0</v>
      </c>
      <c r="N31" s="80">
        <v>0</v>
      </c>
      <c r="O31" s="112">
        <v>0</v>
      </c>
      <c r="P31" s="114">
        <v>0</v>
      </c>
      <c r="Q31" s="114">
        <v>0</v>
      </c>
      <c r="R31" s="114">
        <v>0</v>
      </c>
    </row>
    <row r="32" spans="1:18" x14ac:dyDescent="0.25">
      <c r="A32" s="73">
        <v>26</v>
      </c>
      <c r="B32" s="32" t="s">
        <v>149</v>
      </c>
      <c r="C32" s="109">
        <v>491.14463999999998</v>
      </c>
      <c r="D32" s="109">
        <f>C32-212.17377</f>
        <v>278.97086999999999</v>
      </c>
      <c r="E32" s="48">
        <f t="shared" si="0"/>
        <v>43.19985452757868</v>
      </c>
      <c r="F32" s="111">
        <v>3121.8022299999998</v>
      </c>
      <c r="G32" s="111">
        <v>89.202899999999772</v>
      </c>
      <c r="H32" s="48">
        <f t="shared" si="1"/>
        <v>97.142583244294769</v>
      </c>
      <c r="I32" s="109">
        <f>4074.45537-C32-F32</f>
        <v>461.50850000000037</v>
      </c>
      <c r="J32" s="109">
        <f>4074.45537-3676.69276-D32-G32</f>
        <v>29.588840000000459</v>
      </c>
      <c r="K32" s="48">
        <f t="shared" si="2"/>
        <v>93.588668464394388</v>
      </c>
      <c r="L32" s="113">
        <v>729</v>
      </c>
      <c r="M32" s="80">
        <v>0</v>
      </c>
      <c r="N32" s="80">
        <v>0</v>
      </c>
      <c r="O32" s="112">
        <v>0</v>
      </c>
      <c r="P32" s="114">
        <v>0</v>
      </c>
      <c r="Q32" s="114">
        <v>0</v>
      </c>
      <c r="R32" s="114">
        <v>0</v>
      </c>
    </row>
    <row r="33" spans="1:18" x14ac:dyDescent="0.25">
      <c r="A33" s="73">
        <v>27</v>
      </c>
      <c r="B33" s="32" t="s">
        <v>150</v>
      </c>
      <c r="C33" s="109">
        <v>176.53523000000001</v>
      </c>
      <c r="D33" s="109">
        <f>C33-88.93821</f>
        <v>87.597020000000015</v>
      </c>
      <c r="E33" s="48">
        <f t="shared" si="0"/>
        <v>50.379864687632036</v>
      </c>
      <c r="F33" s="111">
        <v>8014.2326700000003</v>
      </c>
      <c r="G33" s="111">
        <v>897.62085999999999</v>
      </c>
      <c r="H33" s="48">
        <f t="shared" si="1"/>
        <v>88.799665582955939</v>
      </c>
      <c r="I33" s="109">
        <f>9955.56992-C33-F33</f>
        <v>1764.8020200000001</v>
      </c>
      <c r="J33" s="109">
        <f>9955.56992-8665.17884-D33-G33</f>
        <v>305.1731999999995</v>
      </c>
      <c r="K33" s="48">
        <f t="shared" si="2"/>
        <v>82.70779404479606</v>
      </c>
      <c r="L33" s="113">
        <v>3079.3</v>
      </c>
      <c r="M33" s="80">
        <v>0</v>
      </c>
      <c r="N33" s="80">
        <v>0</v>
      </c>
      <c r="O33" s="112">
        <v>0</v>
      </c>
      <c r="P33" s="114">
        <v>0</v>
      </c>
      <c r="Q33" s="114">
        <v>0</v>
      </c>
      <c r="R33" s="114">
        <v>0</v>
      </c>
    </row>
    <row r="34" spans="1:18" ht="30" x14ac:dyDescent="0.25">
      <c r="A34" s="73">
        <v>28</v>
      </c>
      <c r="B34" s="32" t="s">
        <v>151</v>
      </c>
      <c r="C34" s="109">
        <v>500.91386999999997</v>
      </c>
      <c r="D34" s="109">
        <f>C34-222.40151</f>
        <v>278.51235999999994</v>
      </c>
      <c r="E34" s="48">
        <f t="shared" si="0"/>
        <v>44.399151894117054</v>
      </c>
      <c r="F34" s="111">
        <v>2858.0270500000001</v>
      </c>
      <c r="G34" s="111">
        <v>359.94795000000022</v>
      </c>
      <c r="H34" s="48">
        <f t="shared" si="1"/>
        <v>87.405719270571623</v>
      </c>
      <c r="I34" s="109">
        <f>3417.26992-C34-F34</f>
        <v>58.329000000000178</v>
      </c>
      <c r="J34" s="109">
        <f>3417.36992-2778.80961-D34-G34</f>
        <v>0.10000000000013642</v>
      </c>
      <c r="K34" s="48">
        <f t="shared" si="2"/>
        <v>99.828558692931253</v>
      </c>
      <c r="L34" s="113">
        <v>773.3</v>
      </c>
      <c r="M34" s="113">
        <v>125</v>
      </c>
      <c r="N34" s="80">
        <v>0</v>
      </c>
      <c r="O34" s="112">
        <v>0</v>
      </c>
      <c r="P34" s="114">
        <v>0</v>
      </c>
      <c r="Q34" s="114">
        <v>0</v>
      </c>
      <c r="R34" s="114">
        <v>0</v>
      </c>
    </row>
    <row r="35" spans="1:18" ht="30" x14ac:dyDescent="0.25">
      <c r="A35" s="73">
        <v>29</v>
      </c>
      <c r="B35" s="32" t="s">
        <v>194</v>
      </c>
      <c r="C35" s="109">
        <v>4392.6114399999997</v>
      </c>
      <c r="D35" s="109">
        <f>C35-3546.60111</f>
        <v>846.01032999999961</v>
      </c>
      <c r="E35" s="48">
        <f t="shared" si="0"/>
        <v>80.740151011399277</v>
      </c>
      <c r="F35" s="111">
        <v>3512.81077</v>
      </c>
      <c r="G35" s="111">
        <v>414.18371000000025</v>
      </c>
      <c r="H35" s="48">
        <f t="shared" si="1"/>
        <v>88.209336137966801</v>
      </c>
      <c r="I35" s="109">
        <f>8151.38522-C35-F35</f>
        <v>245.96301000000039</v>
      </c>
      <c r="J35" s="109">
        <v>0</v>
      </c>
      <c r="K35" s="48">
        <f t="shared" si="2"/>
        <v>100</v>
      </c>
      <c r="L35" s="113">
        <v>894.3</v>
      </c>
      <c r="M35" s="80">
        <v>0</v>
      </c>
      <c r="N35" s="80">
        <v>0</v>
      </c>
      <c r="O35" s="112">
        <v>0</v>
      </c>
      <c r="P35" s="114">
        <v>0</v>
      </c>
      <c r="Q35" s="114">
        <v>0</v>
      </c>
      <c r="R35" s="114">
        <v>0</v>
      </c>
    </row>
    <row r="36" spans="1:18" ht="30" x14ac:dyDescent="0.25">
      <c r="A36" s="73">
        <v>30</v>
      </c>
      <c r="B36" s="32" t="s">
        <v>152</v>
      </c>
      <c r="C36" s="109">
        <v>8316.18</v>
      </c>
      <c r="D36" s="109">
        <f>C36-4559.1464</f>
        <v>3757.0336000000007</v>
      </c>
      <c r="E36" s="48">
        <f t="shared" ref="E36" si="3">((C36-D36)/C36)*100</f>
        <v>54.822603647347691</v>
      </c>
      <c r="F36" s="111">
        <v>4340.0002100000002</v>
      </c>
      <c r="G36" s="111">
        <v>87.064080000000104</v>
      </c>
      <c r="H36" s="48">
        <f t="shared" si="1"/>
        <v>97.993915304441884</v>
      </c>
      <c r="I36" s="109">
        <f>12861.60721-C36-F36</f>
        <v>205.42699999999968</v>
      </c>
      <c r="J36" s="109">
        <v>0</v>
      </c>
      <c r="K36" s="48">
        <f t="shared" si="2"/>
        <v>100</v>
      </c>
      <c r="L36" s="113">
        <v>1341.18</v>
      </c>
      <c r="M36" s="113">
        <v>177.75</v>
      </c>
      <c r="N36" s="80">
        <v>0</v>
      </c>
      <c r="O36" s="112">
        <v>0</v>
      </c>
      <c r="P36" s="114">
        <v>0</v>
      </c>
      <c r="Q36" s="114">
        <v>0</v>
      </c>
      <c r="R36" s="114">
        <v>0</v>
      </c>
    </row>
    <row r="37" spans="1:18" ht="30" x14ac:dyDescent="0.25">
      <c r="A37" s="73">
        <v>31</v>
      </c>
      <c r="B37" s="32" t="s">
        <v>153</v>
      </c>
      <c r="C37" s="109">
        <v>16504.2857</v>
      </c>
      <c r="D37" s="109">
        <f>C37-5925.04011</f>
        <v>10579.24559</v>
      </c>
      <c r="E37" s="48">
        <f t="shared" ref="E37:E76" si="4">((C37-D37)/C37)*100</f>
        <v>35.900009353328144</v>
      </c>
      <c r="F37" s="111">
        <v>2216.74431</v>
      </c>
      <c r="G37" s="111">
        <v>10.112169999999878</v>
      </c>
      <c r="H37" s="48">
        <f t="shared" si="1"/>
        <v>99.543827858071737</v>
      </c>
      <c r="I37" s="109">
        <f>18791.24001-C37-F37</f>
        <v>70.210000000000946</v>
      </c>
      <c r="J37" s="109">
        <v>0</v>
      </c>
      <c r="K37" s="48">
        <f t="shared" si="2"/>
        <v>100</v>
      </c>
      <c r="L37" s="113">
        <v>1438.7</v>
      </c>
      <c r="M37" s="80">
        <v>0</v>
      </c>
      <c r="N37" s="80">
        <v>0</v>
      </c>
      <c r="O37" s="112">
        <v>0</v>
      </c>
      <c r="P37" s="114">
        <v>0</v>
      </c>
      <c r="Q37" s="114">
        <v>0</v>
      </c>
      <c r="R37" s="114">
        <v>0</v>
      </c>
    </row>
    <row r="38" spans="1:18" ht="30" x14ac:dyDescent="0.25">
      <c r="A38" s="73">
        <v>32</v>
      </c>
      <c r="B38" s="32" t="s">
        <v>154</v>
      </c>
      <c r="C38" s="109">
        <v>12401.146059999999</v>
      </c>
      <c r="D38" s="109">
        <f>C38-8780.04876</f>
        <v>3621.0972999999994</v>
      </c>
      <c r="E38" s="48">
        <f t="shared" si="4"/>
        <v>70.800301177970326</v>
      </c>
      <c r="F38" s="111">
        <v>2976.6925999999999</v>
      </c>
      <c r="G38" s="111">
        <v>168.10149999999976</v>
      </c>
      <c r="H38" s="48">
        <f t="shared" si="1"/>
        <v>94.352742369165028</v>
      </c>
      <c r="I38" s="109">
        <f>15710.84665-C38-F38</f>
        <v>333.00799000000052</v>
      </c>
      <c r="J38" s="109">
        <v>0</v>
      </c>
      <c r="K38" s="48">
        <f t="shared" si="2"/>
        <v>100</v>
      </c>
      <c r="L38" s="113">
        <v>1044</v>
      </c>
      <c r="M38" s="80">
        <v>0</v>
      </c>
      <c r="N38" s="80">
        <v>0</v>
      </c>
      <c r="O38" s="112">
        <v>0</v>
      </c>
      <c r="P38" s="114">
        <v>0</v>
      </c>
      <c r="Q38" s="114">
        <v>0</v>
      </c>
      <c r="R38" s="114">
        <v>0</v>
      </c>
    </row>
    <row r="39" spans="1:18" x14ac:dyDescent="0.25">
      <c r="A39" s="73">
        <v>33</v>
      </c>
      <c r="B39" s="32" t="s">
        <v>156</v>
      </c>
      <c r="C39" s="109">
        <v>4231.6013700000003</v>
      </c>
      <c r="D39" s="109">
        <f>C39-2085.50532</f>
        <v>2146.0960500000001</v>
      </c>
      <c r="E39" s="48">
        <f t="shared" si="4"/>
        <v>49.284068551097953</v>
      </c>
      <c r="F39" s="111">
        <v>5145.9315500000002</v>
      </c>
      <c r="G39" s="111">
        <v>303.40927999999985</v>
      </c>
      <c r="H39" s="48">
        <f t="shared" si="1"/>
        <v>94.103899807994921</v>
      </c>
      <c r="I39" s="109">
        <f>9632.15542-C39-F39</f>
        <v>254.62249999999858</v>
      </c>
      <c r="J39" s="109">
        <v>0</v>
      </c>
      <c r="K39" s="48">
        <f t="shared" si="2"/>
        <v>100</v>
      </c>
      <c r="L39" s="113">
        <v>1273.0999999999999</v>
      </c>
      <c r="M39" s="80">
        <v>0</v>
      </c>
      <c r="N39" s="80">
        <v>0</v>
      </c>
      <c r="O39" s="112">
        <v>0</v>
      </c>
      <c r="P39" s="114">
        <v>0</v>
      </c>
      <c r="Q39" s="114">
        <v>0</v>
      </c>
      <c r="R39" s="114">
        <v>0</v>
      </c>
    </row>
    <row r="40" spans="1:18" ht="30" x14ac:dyDescent="0.25">
      <c r="A40" s="73">
        <v>34</v>
      </c>
      <c r="B40" s="32" t="s">
        <v>157</v>
      </c>
      <c r="C40" s="109">
        <v>117722.5</v>
      </c>
      <c r="D40" s="109">
        <f>C40-1730.04018</f>
        <v>115992.45982</v>
      </c>
      <c r="E40" s="48">
        <f t="shared" si="4"/>
        <v>1.4695917772728206</v>
      </c>
      <c r="F40" s="111">
        <v>11464.37932</v>
      </c>
      <c r="G40" s="111">
        <v>1808.6315500000001</v>
      </c>
      <c r="H40" s="48">
        <f t="shared" si="1"/>
        <v>84.223903453327125</v>
      </c>
      <c r="I40" s="109">
        <v>0</v>
      </c>
      <c r="J40" s="109">
        <v>0</v>
      </c>
      <c r="K40" s="48">
        <v>0</v>
      </c>
      <c r="L40" s="113">
        <v>2412.8000000000002</v>
      </c>
      <c r="M40" s="80">
        <v>0</v>
      </c>
      <c r="N40" s="80">
        <v>0</v>
      </c>
      <c r="O40" s="112">
        <v>0</v>
      </c>
      <c r="P40" s="114">
        <v>0</v>
      </c>
      <c r="Q40" s="114">
        <v>0</v>
      </c>
      <c r="R40" s="114">
        <v>0</v>
      </c>
    </row>
    <row r="41" spans="1:18" ht="30" x14ac:dyDescent="0.25">
      <c r="A41" s="73">
        <v>35</v>
      </c>
      <c r="B41" s="32" t="s">
        <v>158</v>
      </c>
      <c r="C41" s="109">
        <v>6820.87284</v>
      </c>
      <c r="D41" s="109">
        <f>C41-6820.87284</f>
        <v>0</v>
      </c>
      <c r="E41" s="48">
        <f t="shared" si="4"/>
        <v>100</v>
      </c>
      <c r="F41" s="111">
        <v>7055.8522999999996</v>
      </c>
      <c r="G41" s="111">
        <v>386.3478699999996</v>
      </c>
      <c r="H41" s="48">
        <f t="shared" si="1"/>
        <v>94.524433710155748</v>
      </c>
      <c r="I41" s="109">
        <f>13998.89486-C41-F41</f>
        <v>122.16972000000078</v>
      </c>
      <c r="J41" s="109">
        <f>13998.89486-13612.54699-D41-G41</f>
        <v>0</v>
      </c>
      <c r="K41" s="48">
        <f t="shared" ref="K41:K53" si="5">((I41-J41)/I41)*100</f>
        <v>100</v>
      </c>
      <c r="L41" s="113">
        <v>1755.2</v>
      </c>
      <c r="M41" s="80">
        <v>0</v>
      </c>
      <c r="N41" s="80">
        <v>0</v>
      </c>
      <c r="O41" s="112">
        <v>0</v>
      </c>
      <c r="P41" s="114">
        <v>0</v>
      </c>
      <c r="Q41" s="114">
        <v>0</v>
      </c>
      <c r="R41" s="114">
        <v>0</v>
      </c>
    </row>
    <row r="42" spans="1:18" ht="30" x14ac:dyDescent="0.25">
      <c r="A42" s="73">
        <v>36</v>
      </c>
      <c r="B42" s="32" t="s">
        <v>159</v>
      </c>
      <c r="C42" s="109">
        <v>57758.499949999998</v>
      </c>
      <c r="D42" s="109">
        <f>C42-10654.41451</f>
        <v>47104.085439999995</v>
      </c>
      <c r="E42" s="48">
        <f t="shared" si="4"/>
        <v>18.446487563256049</v>
      </c>
      <c r="F42" s="111">
        <v>7493.2925999999998</v>
      </c>
      <c r="G42" s="111">
        <v>205.75926999999956</v>
      </c>
      <c r="H42" s="48">
        <f t="shared" si="1"/>
        <v>97.254087342058426</v>
      </c>
      <c r="I42" s="109">
        <f>65272.85275-C42-F42</f>
        <v>21.060200000000805</v>
      </c>
      <c r="J42" s="109">
        <v>0</v>
      </c>
      <c r="K42" s="48">
        <f t="shared" si="5"/>
        <v>100</v>
      </c>
      <c r="L42" s="113">
        <v>1438.2</v>
      </c>
      <c r="M42" s="80">
        <v>0</v>
      </c>
      <c r="N42" s="80">
        <v>0</v>
      </c>
      <c r="O42" s="112">
        <v>0</v>
      </c>
      <c r="P42" s="114">
        <v>0</v>
      </c>
      <c r="Q42" s="114">
        <v>0</v>
      </c>
      <c r="R42" s="114">
        <v>0</v>
      </c>
    </row>
    <row r="43" spans="1:18" ht="30" x14ac:dyDescent="0.25">
      <c r="A43" s="73">
        <v>37</v>
      </c>
      <c r="B43" s="32" t="s">
        <v>160</v>
      </c>
      <c r="C43" s="109">
        <v>22481.141220000001</v>
      </c>
      <c r="D43" s="109">
        <f>C43-12409.41407</f>
        <v>10071.727150000001</v>
      </c>
      <c r="E43" s="48">
        <f t="shared" si="4"/>
        <v>55.199217640073158</v>
      </c>
      <c r="F43" s="111">
        <v>22942.615860000002</v>
      </c>
      <c r="G43" s="111">
        <v>4906.1737300000023</v>
      </c>
      <c r="H43" s="48">
        <f t="shared" si="1"/>
        <v>78.615456232461185</v>
      </c>
      <c r="I43" s="109">
        <f>45768.65109-C43-F43</f>
        <v>344.89400999999634</v>
      </c>
      <c r="J43" s="109">
        <v>0</v>
      </c>
      <c r="K43" s="48">
        <f t="shared" si="5"/>
        <v>100</v>
      </c>
      <c r="L43" s="113">
        <v>4224.04</v>
      </c>
      <c r="M43" s="80">
        <v>0</v>
      </c>
      <c r="N43" s="80">
        <v>0</v>
      </c>
      <c r="O43" s="112">
        <v>0</v>
      </c>
      <c r="P43" s="114">
        <v>0</v>
      </c>
      <c r="Q43" s="114">
        <v>0</v>
      </c>
      <c r="R43" s="114">
        <v>0</v>
      </c>
    </row>
    <row r="44" spans="1:18" ht="30" x14ac:dyDescent="0.25">
      <c r="A44" s="73">
        <v>38</v>
      </c>
      <c r="B44" s="32" t="s">
        <v>161</v>
      </c>
      <c r="C44" s="109">
        <v>20049.020960000002</v>
      </c>
      <c r="D44" s="109">
        <f>C44-8431.18945</f>
        <v>11617.831510000002</v>
      </c>
      <c r="E44" s="48">
        <f t="shared" si="4"/>
        <v>42.052873638174894</v>
      </c>
      <c r="F44" s="111">
        <v>10178.430480000001</v>
      </c>
      <c r="G44" s="111">
        <v>1160.9360500000003</v>
      </c>
      <c r="H44" s="48">
        <f t="shared" si="1"/>
        <v>88.594154547882709</v>
      </c>
      <c r="I44" s="109">
        <f>30285.35144-C44-F44</f>
        <v>57.899999999995998</v>
      </c>
      <c r="J44" s="109">
        <v>0</v>
      </c>
      <c r="K44" s="48">
        <f t="shared" si="5"/>
        <v>100</v>
      </c>
      <c r="L44" s="113">
        <v>1203.25</v>
      </c>
      <c r="M44" s="80">
        <v>0</v>
      </c>
      <c r="N44" s="80">
        <v>0</v>
      </c>
      <c r="O44" s="112">
        <v>0</v>
      </c>
      <c r="P44" s="114">
        <v>0</v>
      </c>
      <c r="Q44" s="114">
        <v>0</v>
      </c>
      <c r="R44" s="114">
        <v>0</v>
      </c>
    </row>
    <row r="45" spans="1:18" ht="30" x14ac:dyDescent="0.25">
      <c r="A45" s="73">
        <v>39</v>
      </c>
      <c r="B45" s="32" t="s">
        <v>162</v>
      </c>
      <c r="C45" s="109">
        <v>60083.637000000002</v>
      </c>
      <c r="D45" s="109">
        <f>C45-23978.97004</f>
        <v>36104.666960000002</v>
      </c>
      <c r="E45" s="48">
        <f t="shared" si="4"/>
        <v>39.909318472182363</v>
      </c>
      <c r="F45" s="111">
        <v>26938.258249999999</v>
      </c>
      <c r="G45" s="111">
        <v>6856.9684699999998</v>
      </c>
      <c r="H45" s="48">
        <f t="shared" si="1"/>
        <v>74.545613133692484</v>
      </c>
      <c r="I45" s="109">
        <f>87038.05478-C45-F45</f>
        <v>16.159530000004452</v>
      </c>
      <c r="J45" s="109">
        <v>0</v>
      </c>
      <c r="K45" s="48">
        <f t="shared" si="5"/>
        <v>100</v>
      </c>
      <c r="L45" s="113">
        <f>3765.7+2642.9</f>
        <v>6408.6</v>
      </c>
      <c r="M45" s="113">
        <v>582</v>
      </c>
      <c r="N45" s="80">
        <v>0</v>
      </c>
      <c r="O45" s="112">
        <v>0</v>
      </c>
      <c r="P45" s="114">
        <v>0</v>
      </c>
      <c r="Q45" s="114">
        <v>0</v>
      </c>
      <c r="R45" s="114">
        <v>0</v>
      </c>
    </row>
    <row r="46" spans="1:18" x14ac:dyDescent="0.25">
      <c r="A46" s="73">
        <v>40</v>
      </c>
      <c r="B46" s="32" t="s">
        <v>163</v>
      </c>
      <c r="C46" s="109">
        <v>9548.9780599999995</v>
      </c>
      <c r="D46" s="109">
        <f>C46-3816.85493</f>
        <v>5732.1231299999999</v>
      </c>
      <c r="E46" s="48">
        <f t="shared" si="4"/>
        <v>39.971344640412752</v>
      </c>
      <c r="F46" s="111">
        <v>24127.719870000001</v>
      </c>
      <c r="G46" s="111">
        <v>4903.0022500000014</v>
      </c>
      <c r="H46" s="48">
        <f t="shared" si="1"/>
        <v>79.678965619555655</v>
      </c>
      <c r="I46" s="109">
        <f>33743.09528-C46-F46</f>
        <v>66.397349999999278</v>
      </c>
      <c r="J46" s="109">
        <f>31927.5254-20691.25442-D46-G46</f>
        <v>601.14559999999619</v>
      </c>
      <c r="K46" s="48">
        <f t="shared" si="5"/>
        <v>-805.37589226076454</v>
      </c>
      <c r="L46" s="113">
        <v>4345.78</v>
      </c>
      <c r="M46" s="80">
        <v>0</v>
      </c>
      <c r="N46" s="80">
        <v>0</v>
      </c>
      <c r="O46" s="112">
        <v>0</v>
      </c>
      <c r="P46" s="114">
        <v>0</v>
      </c>
      <c r="Q46" s="114">
        <v>0</v>
      </c>
      <c r="R46" s="114">
        <v>0</v>
      </c>
    </row>
    <row r="47" spans="1:18" ht="30" x14ac:dyDescent="0.25">
      <c r="A47" s="73">
        <v>41</v>
      </c>
      <c r="B47" s="32" t="s">
        <v>164</v>
      </c>
      <c r="C47" s="109">
        <v>28582.984130000001</v>
      </c>
      <c r="D47" s="109">
        <f>C47-11225.76289</f>
        <v>17357.221239999999</v>
      </c>
      <c r="E47" s="48">
        <f t="shared" si="4"/>
        <v>39.274285844135207</v>
      </c>
      <c r="F47" s="111">
        <v>44883.333330000001</v>
      </c>
      <c r="G47" s="111">
        <v>14361.89674</v>
      </c>
      <c r="H47" s="48">
        <f t="shared" si="1"/>
        <v>68.001715393093335</v>
      </c>
      <c r="I47" s="109">
        <f>73552.53721-C47-F47</f>
        <v>86.219749999996566</v>
      </c>
      <c r="J47" s="109">
        <f>73552.53721-41757.16932-D47-G47</f>
        <v>76.249909999994998</v>
      </c>
      <c r="K47" s="48">
        <f t="shared" si="5"/>
        <v>11.56329031341655</v>
      </c>
      <c r="L47" s="113">
        <v>1852</v>
      </c>
      <c r="M47" s="80">
        <v>0</v>
      </c>
      <c r="N47" s="80">
        <v>0</v>
      </c>
      <c r="O47" s="112">
        <v>0</v>
      </c>
      <c r="P47" s="114">
        <v>0</v>
      </c>
      <c r="Q47" s="114">
        <v>0</v>
      </c>
      <c r="R47" s="114">
        <v>0</v>
      </c>
    </row>
    <row r="48" spans="1:18" x14ac:dyDescent="0.25">
      <c r="A48" s="73">
        <v>42</v>
      </c>
      <c r="B48" s="32" t="s">
        <v>165</v>
      </c>
      <c r="C48" s="109">
        <v>76965.251999999993</v>
      </c>
      <c r="D48" s="109">
        <f>C48-14777.32834</f>
        <v>62187.923659999993</v>
      </c>
      <c r="E48" s="48">
        <f t="shared" si="4"/>
        <v>19.199999942831347</v>
      </c>
      <c r="F48" s="111">
        <v>10829.56018</v>
      </c>
      <c r="G48" s="111">
        <v>1520.7633600000008</v>
      </c>
      <c r="H48" s="48">
        <f t="shared" si="1"/>
        <v>85.957293419833036</v>
      </c>
      <c r="I48" s="109">
        <f>87888.50504-C48-F48</f>
        <v>93.692860000010114</v>
      </c>
      <c r="J48" s="109">
        <v>0</v>
      </c>
      <c r="K48" s="48">
        <f t="shared" si="5"/>
        <v>100</v>
      </c>
      <c r="L48" s="113">
        <v>2106.1999999999998</v>
      </c>
      <c r="M48" s="80">
        <v>0</v>
      </c>
      <c r="N48" s="80">
        <v>0</v>
      </c>
      <c r="O48" s="112">
        <v>0</v>
      </c>
      <c r="P48" s="114">
        <v>0</v>
      </c>
      <c r="Q48" s="114">
        <v>0</v>
      </c>
      <c r="R48" s="114">
        <v>0</v>
      </c>
    </row>
    <row r="49" spans="1:18" x14ac:dyDescent="0.25">
      <c r="A49" s="73">
        <v>43</v>
      </c>
      <c r="B49" s="32" t="s">
        <v>166</v>
      </c>
      <c r="C49" s="109">
        <v>14271.123310000001</v>
      </c>
      <c r="D49" s="109">
        <f>C49-6752.05258</f>
        <v>7519.0707300000013</v>
      </c>
      <c r="E49" s="48">
        <f t="shared" si="4"/>
        <v>47.312691743534515</v>
      </c>
      <c r="F49" s="111">
        <v>8157.2342399999998</v>
      </c>
      <c r="G49" s="111">
        <v>614.67896000000019</v>
      </c>
      <c r="H49" s="48">
        <f t="shared" si="1"/>
        <v>92.464615555774458</v>
      </c>
      <c r="I49" s="109">
        <f>22738.14098-C49-F49</f>
        <v>309.7834299999995</v>
      </c>
      <c r="J49" s="109">
        <v>0</v>
      </c>
      <c r="K49" s="48">
        <f t="shared" si="5"/>
        <v>100</v>
      </c>
      <c r="L49" s="113">
        <v>2601.6999999999998</v>
      </c>
      <c r="M49" s="80">
        <v>0</v>
      </c>
      <c r="N49" s="80">
        <v>0</v>
      </c>
      <c r="O49" s="112">
        <v>0</v>
      </c>
      <c r="P49" s="114">
        <v>0</v>
      </c>
      <c r="Q49" s="114">
        <v>0</v>
      </c>
      <c r="R49" s="114">
        <v>0</v>
      </c>
    </row>
    <row r="50" spans="1:18" ht="30" x14ac:dyDescent="0.25">
      <c r="A50" s="73">
        <v>44</v>
      </c>
      <c r="B50" s="32" t="s">
        <v>167</v>
      </c>
      <c r="C50" s="109">
        <v>11661.90553</v>
      </c>
      <c r="D50" s="109">
        <f>C50-4685.23715</f>
        <v>6976.6683800000001</v>
      </c>
      <c r="E50" s="48">
        <f t="shared" si="4"/>
        <v>40.175571118693497</v>
      </c>
      <c r="F50" s="111">
        <v>4043.1864</v>
      </c>
      <c r="G50" s="111">
        <v>311.38914999999997</v>
      </c>
      <c r="H50" s="48">
        <f t="shared" si="1"/>
        <v>92.298422105891532</v>
      </c>
      <c r="I50" s="109">
        <f>15723.09093-C50-F50</f>
        <v>17.999000000000251</v>
      </c>
      <c r="J50" s="109">
        <v>0</v>
      </c>
      <c r="K50" s="48">
        <f t="shared" si="5"/>
        <v>100</v>
      </c>
      <c r="L50" s="113">
        <v>1896.08</v>
      </c>
      <c r="M50" s="113">
        <v>54.19</v>
      </c>
      <c r="N50" s="80">
        <v>0</v>
      </c>
      <c r="O50" s="112">
        <v>0</v>
      </c>
      <c r="P50" s="114">
        <v>0</v>
      </c>
      <c r="Q50" s="114">
        <v>0</v>
      </c>
      <c r="R50" s="114">
        <v>0</v>
      </c>
    </row>
    <row r="51" spans="1:18" ht="30" x14ac:dyDescent="0.25">
      <c r="A51" s="73">
        <v>45</v>
      </c>
      <c r="B51" s="32" t="s">
        <v>168</v>
      </c>
      <c r="C51" s="109">
        <v>1338.0535500000001</v>
      </c>
      <c r="D51" s="109">
        <f>C51-883.13363</f>
        <v>454.91992000000005</v>
      </c>
      <c r="E51" s="48">
        <f t="shared" si="4"/>
        <v>66.001366686706973</v>
      </c>
      <c r="F51" s="111">
        <v>10472.8076</v>
      </c>
      <c r="G51" s="111">
        <v>1337.9999000000007</v>
      </c>
      <c r="H51" s="48">
        <f t="shared" si="1"/>
        <v>87.224057281449532</v>
      </c>
      <c r="I51" s="109">
        <f>11824.18715-C51-F51</f>
        <v>13.325999999999112</v>
      </c>
      <c r="J51" s="109">
        <f>11824.18715-10031.26733-D51-G51</f>
        <v>0</v>
      </c>
      <c r="K51" s="48">
        <f t="shared" si="5"/>
        <v>100</v>
      </c>
      <c r="L51" s="113">
        <v>2055.1999999999998</v>
      </c>
      <c r="M51" s="80">
        <v>0</v>
      </c>
      <c r="N51" s="80">
        <v>0</v>
      </c>
      <c r="O51" s="112">
        <v>0</v>
      </c>
      <c r="P51" s="114">
        <v>0</v>
      </c>
      <c r="Q51" s="114">
        <v>0</v>
      </c>
      <c r="R51" s="114">
        <v>0</v>
      </c>
    </row>
    <row r="52" spans="1:18" x14ac:dyDescent="0.25">
      <c r="A52" s="73">
        <v>46</v>
      </c>
      <c r="B52" s="32" t="s">
        <v>169</v>
      </c>
      <c r="C52" s="109">
        <v>47556.944179999999</v>
      </c>
      <c r="D52" s="109">
        <f>C52-25041.75415</f>
        <v>22515.190029999998</v>
      </c>
      <c r="E52" s="48">
        <f t="shared" si="4"/>
        <v>52.656356672578795</v>
      </c>
      <c r="F52" s="111">
        <v>16270.726280000001</v>
      </c>
      <c r="G52" s="111">
        <v>5071.5308400000013</v>
      </c>
      <c r="H52" s="48">
        <f t="shared" si="1"/>
        <v>68.830335212301293</v>
      </c>
      <c r="I52" s="109">
        <f>63347.56446-C52-F52</f>
        <v>-480.10599999999795</v>
      </c>
      <c r="J52" s="109">
        <v>0</v>
      </c>
      <c r="K52" s="48">
        <f t="shared" si="5"/>
        <v>100</v>
      </c>
      <c r="L52" s="113">
        <v>2957</v>
      </c>
      <c r="M52" s="80">
        <v>0</v>
      </c>
      <c r="N52" s="80">
        <v>0</v>
      </c>
      <c r="O52" s="112">
        <v>0</v>
      </c>
      <c r="P52" s="114">
        <v>0</v>
      </c>
      <c r="Q52" s="114">
        <v>0</v>
      </c>
      <c r="R52" s="114">
        <v>0</v>
      </c>
    </row>
    <row r="53" spans="1:18" ht="30" x14ac:dyDescent="0.25">
      <c r="A53" s="73">
        <v>47</v>
      </c>
      <c r="B53" s="32" t="s">
        <v>170</v>
      </c>
      <c r="C53" s="109">
        <v>37699.180800000002</v>
      </c>
      <c r="D53" s="109">
        <f>C53-33810.82755</f>
        <v>3888.3532500000001</v>
      </c>
      <c r="E53" s="48">
        <f t="shared" si="4"/>
        <v>89.685841528949084</v>
      </c>
      <c r="F53" s="111">
        <v>13865.13631</v>
      </c>
      <c r="G53" s="111">
        <v>1668.6526599999997</v>
      </c>
      <c r="H53" s="48">
        <f t="shared" ref="H53:H76" si="6">((F53-G53)/F53)*100</f>
        <v>87.965118966796524</v>
      </c>
      <c r="I53" s="109">
        <f>51584.24749-C53-F53</f>
        <v>19.930379999999786</v>
      </c>
      <c r="J53" s="109">
        <v>0</v>
      </c>
      <c r="K53" s="48">
        <f t="shared" si="5"/>
        <v>100</v>
      </c>
      <c r="L53" s="113">
        <v>3185.9</v>
      </c>
      <c r="M53" s="113">
        <v>282.95</v>
      </c>
      <c r="N53" s="80">
        <v>0</v>
      </c>
      <c r="O53" s="112">
        <v>0</v>
      </c>
      <c r="P53" s="114">
        <v>0</v>
      </c>
      <c r="Q53" s="114">
        <v>0</v>
      </c>
      <c r="R53" s="114">
        <v>0</v>
      </c>
    </row>
    <row r="54" spans="1:18" ht="30" x14ac:dyDescent="0.25">
      <c r="A54" s="73">
        <v>48</v>
      </c>
      <c r="B54" s="32" t="s">
        <v>171</v>
      </c>
      <c r="C54" s="109">
        <v>397259.00585000002</v>
      </c>
      <c r="D54" s="109">
        <f>C54-17288.0549</f>
        <v>379970.95095000003</v>
      </c>
      <c r="E54" s="48">
        <f t="shared" si="4"/>
        <v>4.3518346080057748</v>
      </c>
      <c r="F54" s="111">
        <v>24480.120029999998</v>
      </c>
      <c r="G54" s="111">
        <v>7683.1282799999972</v>
      </c>
      <c r="H54" s="48">
        <f t="shared" si="6"/>
        <v>68.614825946178186</v>
      </c>
      <c r="I54" s="109">
        <f>421770.44328-C54-F54</f>
        <v>31.317399999992631</v>
      </c>
      <c r="J54" s="109">
        <v>0</v>
      </c>
      <c r="K54" s="48">
        <f t="shared" ref="K54:K76" si="7">((I54-J54)/I54)*100</f>
        <v>100</v>
      </c>
      <c r="L54" s="113">
        <v>8037.17</v>
      </c>
      <c r="M54" s="80">
        <v>0</v>
      </c>
      <c r="N54" s="80">
        <v>0</v>
      </c>
      <c r="O54" s="112">
        <v>0</v>
      </c>
      <c r="P54" s="114"/>
      <c r="Q54" s="114"/>
      <c r="R54" s="114"/>
    </row>
    <row r="55" spans="1:18" x14ac:dyDescent="0.25">
      <c r="A55" s="73">
        <v>49</v>
      </c>
      <c r="B55" s="32" t="s">
        <v>172</v>
      </c>
      <c r="C55" s="109">
        <v>32815.73401</v>
      </c>
      <c r="D55" s="109">
        <f>C55-18962.70578</f>
        <v>13853.02823</v>
      </c>
      <c r="E55" s="48">
        <f t="shared" si="4"/>
        <v>57.785407982102299</v>
      </c>
      <c r="F55" s="111">
        <v>11230.618479999999</v>
      </c>
      <c r="G55" s="111">
        <v>2648.3423399999992</v>
      </c>
      <c r="H55" s="48">
        <f t="shared" si="6"/>
        <v>76.418553041256914</v>
      </c>
      <c r="I55" s="109">
        <f>44110.53249-C55-F55</f>
        <v>64.179999999998472</v>
      </c>
      <c r="J55" s="109">
        <v>0</v>
      </c>
      <c r="K55" s="48">
        <f t="shared" si="7"/>
        <v>100</v>
      </c>
      <c r="L55" s="113">
        <v>1629.9</v>
      </c>
      <c r="M55" s="80">
        <v>0</v>
      </c>
      <c r="N55" s="80">
        <v>0</v>
      </c>
      <c r="O55" s="112">
        <v>0</v>
      </c>
      <c r="P55" s="114">
        <v>0</v>
      </c>
      <c r="Q55" s="114">
        <v>0</v>
      </c>
      <c r="R55" s="114">
        <v>0</v>
      </c>
    </row>
    <row r="56" spans="1:18" ht="30" x14ac:dyDescent="0.25">
      <c r="A56" s="73">
        <v>50</v>
      </c>
      <c r="B56" s="32" t="s">
        <v>173</v>
      </c>
      <c r="C56" s="109">
        <v>5839.7730099999999</v>
      </c>
      <c r="D56" s="109">
        <f>C56-2296.36303</f>
        <v>3543.4099799999999</v>
      </c>
      <c r="E56" s="48">
        <f t="shared" si="4"/>
        <v>39.32281316530144</v>
      </c>
      <c r="F56" s="111">
        <v>23311.280180000002</v>
      </c>
      <c r="G56" s="111">
        <v>11515.954480000002</v>
      </c>
      <c r="H56" s="48">
        <f t="shared" si="6"/>
        <v>50.599218957180405</v>
      </c>
      <c r="I56" s="109">
        <f>29211.05019-C56-F56</f>
        <v>59.996999999999389</v>
      </c>
      <c r="J56" s="109">
        <v>0</v>
      </c>
      <c r="K56" s="48">
        <f t="shared" si="7"/>
        <v>100</v>
      </c>
      <c r="L56" s="113">
        <v>2396.96</v>
      </c>
      <c r="M56" s="113">
        <v>436.13</v>
      </c>
      <c r="N56" s="80">
        <v>0</v>
      </c>
      <c r="O56" s="112">
        <v>0</v>
      </c>
      <c r="P56" s="114">
        <v>0</v>
      </c>
      <c r="Q56" s="114">
        <v>0</v>
      </c>
      <c r="R56" s="114">
        <v>0</v>
      </c>
    </row>
    <row r="57" spans="1:18" ht="30" x14ac:dyDescent="0.25">
      <c r="A57" s="73">
        <v>51</v>
      </c>
      <c r="B57" s="32" t="s">
        <v>174</v>
      </c>
      <c r="C57" s="109">
        <v>7935.2151599999997</v>
      </c>
      <c r="D57" s="109">
        <f>C57-7685.17259</f>
        <v>250.04256999999961</v>
      </c>
      <c r="E57" s="48">
        <f t="shared" si="4"/>
        <v>96.84895034402571</v>
      </c>
      <c r="F57" s="111">
        <v>11131.994339999999</v>
      </c>
      <c r="G57" s="111">
        <v>1839.8466499999995</v>
      </c>
      <c r="H57" s="48">
        <f t="shared" si="6"/>
        <v>83.472443537013149</v>
      </c>
      <c r="I57" s="109">
        <f>19078.2265-C57-F57</f>
        <v>11.017000000001644</v>
      </c>
      <c r="J57" s="109">
        <v>0</v>
      </c>
      <c r="K57" s="48">
        <f t="shared" si="7"/>
        <v>100</v>
      </c>
      <c r="L57" s="113">
        <v>1039.8</v>
      </c>
      <c r="M57" s="80">
        <v>0</v>
      </c>
      <c r="N57" s="80">
        <v>0</v>
      </c>
      <c r="O57" s="112">
        <v>0</v>
      </c>
      <c r="P57" s="114">
        <v>0</v>
      </c>
      <c r="Q57" s="114">
        <v>0</v>
      </c>
      <c r="R57" s="114">
        <v>0</v>
      </c>
    </row>
    <row r="58" spans="1:18" ht="30" x14ac:dyDescent="0.25">
      <c r="A58" s="73">
        <v>52</v>
      </c>
      <c r="B58" s="32" t="s">
        <v>175</v>
      </c>
      <c r="C58" s="109">
        <v>10414.71823</v>
      </c>
      <c r="D58" s="109">
        <f>C58-4281.11869</f>
        <v>6133.5995400000002</v>
      </c>
      <c r="E58" s="48">
        <f t="shared" si="4"/>
        <v>41.106428378139618</v>
      </c>
      <c r="F58" s="111">
        <v>7307.8378400000001</v>
      </c>
      <c r="G58" s="111">
        <v>813.08190000000013</v>
      </c>
      <c r="H58" s="48">
        <f t="shared" si="6"/>
        <v>88.873837682200133</v>
      </c>
      <c r="I58" s="109">
        <f>17747.14607-C58-F58</f>
        <v>24.589999999998327</v>
      </c>
      <c r="J58" s="109">
        <v>0</v>
      </c>
      <c r="K58" s="48">
        <f t="shared" si="7"/>
        <v>100</v>
      </c>
      <c r="L58" s="113">
        <v>3610.8</v>
      </c>
      <c r="M58" s="113">
        <v>48.4</v>
      </c>
      <c r="N58" s="80">
        <v>0</v>
      </c>
      <c r="O58" s="112">
        <v>0</v>
      </c>
      <c r="P58" s="114">
        <v>0</v>
      </c>
      <c r="Q58" s="114">
        <v>0</v>
      </c>
      <c r="R58" s="114">
        <v>0</v>
      </c>
    </row>
    <row r="59" spans="1:18" ht="30" x14ac:dyDescent="0.25">
      <c r="A59" s="73">
        <v>53</v>
      </c>
      <c r="B59" s="32" t="s">
        <v>176</v>
      </c>
      <c r="C59" s="109">
        <v>25962.263660000001</v>
      </c>
      <c r="D59" s="109">
        <f>C59-17899.8903</f>
        <v>8062.3733600000014</v>
      </c>
      <c r="E59" s="48">
        <f t="shared" si="4"/>
        <v>68.945799697652404</v>
      </c>
      <c r="F59" s="111">
        <v>11654.796560000001</v>
      </c>
      <c r="G59" s="111">
        <v>457.92950000000019</v>
      </c>
      <c r="H59" s="48">
        <f t="shared" si="6"/>
        <v>96.070892377721606</v>
      </c>
      <c r="I59" s="109">
        <f>41839.14645-C59-F59</f>
        <v>4222.086229999999</v>
      </c>
      <c r="J59" s="109">
        <f>41839.14645-29220.73738-D59-G59</f>
        <v>4098.1062099999999</v>
      </c>
      <c r="K59" s="48">
        <f t="shared" si="7"/>
        <v>2.9364634743615623</v>
      </c>
      <c r="L59" s="113">
        <v>2616.8000000000002</v>
      </c>
      <c r="M59" s="80">
        <v>0</v>
      </c>
      <c r="N59" s="80">
        <v>0</v>
      </c>
      <c r="O59" s="112">
        <v>0</v>
      </c>
      <c r="P59" s="114">
        <v>0</v>
      </c>
      <c r="Q59" s="114">
        <v>0</v>
      </c>
      <c r="R59" s="114">
        <v>0</v>
      </c>
    </row>
    <row r="60" spans="1:18" ht="30" x14ac:dyDescent="0.25">
      <c r="A60" s="73">
        <v>54</v>
      </c>
      <c r="B60" s="32" t="s">
        <v>177</v>
      </c>
      <c r="C60" s="109">
        <v>5588.75407</v>
      </c>
      <c r="D60" s="109">
        <f>C60-3515.14936</f>
        <v>2073.6047100000001</v>
      </c>
      <c r="E60" s="48">
        <f t="shared" si="4"/>
        <v>62.896833819706799</v>
      </c>
      <c r="F60" s="111">
        <v>11487.9378</v>
      </c>
      <c r="G60" s="111">
        <v>3300.2514899999996</v>
      </c>
      <c r="H60" s="48">
        <f t="shared" si="6"/>
        <v>71.272028561993082</v>
      </c>
      <c r="I60" s="109">
        <f>17229.01651-C60-F60</f>
        <v>152.32464000000255</v>
      </c>
      <c r="J60" s="109">
        <v>0</v>
      </c>
      <c r="K60" s="48">
        <f t="shared" si="7"/>
        <v>100</v>
      </c>
      <c r="L60" s="113">
        <v>1186.5</v>
      </c>
      <c r="M60" s="80">
        <v>0</v>
      </c>
      <c r="N60" s="80">
        <v>0</v>
      </c>
      <c r="O60" s="112">
        <v>0</v>
      </c>
      <c r="P60" s="114">
        <v>0</v>
      </c>
      <c r="Q60" s="114">
        <v>0</v>
      </c>
      <c r="R60" s="114">
        <v>0</v>
      </c>
    </row>
    <row r="61" spans="1:18" ht="30" x14ac:dyDescent="0.25">
      <c r="A61" s="73">
        <v>55</v>
      </c>
      <c r="B61" s="32" t="s">
        <v>178</v>
      </c>
      <c r="C61" s="109">
        <v>46855.911</v>
      </c>
      <c r="D61" s="109">
        <f>C61-23658.77885</f>
        <v>23197.132150000001</v>
      </c>
      <c r="E61" s="48">
        <f t="shared" si="4"/>
        <v>50.492623758825218</v>
      </c>
      <c r="F61" s="111">
        <v>17862.65783</v>
      </c>
      <c r="G61" s="111">
        <v>2302.9997899999998</v>
      </c>
      <c r="H61" s="48">
        <f t="shared" si="6"/>
        <v>87.107182974013213</v>
      </c>
      <c r="I61" s="109">
        <f>65087.4483-C61-F61</f>
        <v>368.87946999999622</v>
      </c>
      <c r="J61" s="109">
        <v>0</v>
      </c>
      <c r="K61" s="48">
        <f t="shared" si="7"/>
        <v>100</v>
      </c>
      <c r="L61" s="113">
        <v>2598.9899999999998</v>
      </c>
      <c r="M61" s="80">
        <v>0</v>
      </c>
      <c r="N61" s="80">
        <v>0</v>
      </c>
      <c r="O61" s="112">
        <v>0</v>
      </c>
      <c r="P61" s="114">
        <v>0</v>
      </c>
      <c r="Q61" s="114">
        <v>0</v>
      </c>
      <c r="R61" s="114">
        <v>0</v>
      </c>
    </row>
    <row r="62" spans="1:18" ht="30" x14ac:dyDescent="0.25">
      <c r="A62" s="73">
        <v>56</v>
      </c>
      <c r="B62" s="32" t="s">
        <v>179</v>
      </c>
      <c r="C62" s="109">
        <v>59769.39615</v>
      </c>
      <c r="D62" s="109">
        <f>C62-41713.02239</f>
        <v>18056.373760000002</v>
      </c>
      <c r="E62" s="48">
        <f t="shared" si="4"/>
        <v>69.78993444289631</v>
      </c>
      <c r="F62" s="111">
        <v>12963.33359</v>
      </c>
      <c r="G62" s="111">
        <v>945.28904999999941</v>
      </c>
      <c r="H62" s="48">
        <f t="shared" si="6"/>
        <v>92.707978673562792</v>
      </c>
      <c r="I62" s="109">
        <f>72813.23274-C62-F62</f>
        <v>80.503000000006068</v>
      </c>
      <c r="J62" s="109">
        <f>72813.23274-53779.63829-D62-G62</f>
        <v>31.931640000002517</v>
      </c>
      <c r="K62" s="48">
        <f t="shared" si="7"/>
        <v>60.334844664173872</v>
      </c>
      <c r="L62" s="113">
        <v>3214.66</v>
      </c>
      <c r="M62" s="80">
        <v>0</v>
      </c>
      <c r="N62" s="80">
        <v>0</v>
      </c>
      <c r="O62" s="112">
        <v>0</v>
      </c>
      <c r="P62" s="114">
        <v>0</v>
      </c>
      <c r="Q62" s="114">
        <v>0</v>
      </c>
      <c r="R62" s="114">
        <v>0</v>
      </c>
    </row>
    <row r="63" spans="1:18" ht="63.75" customHeight="1" x14ac:dyDescent="0.25">
      <c r="A63" s="73">
        <v>57</v>
      </c>
      <c r="B63" s="32" t="s">
        <v>180</v>
      </c>
      <c r="C63" s="109">
        <v>18668.31494</v>
      </c>
      <c r="D63" s="109">
        <f>C63-7910.04456</f>
        <v>10758.27038</v>
      </c>
      <c r="E63" s="48">
        <f t="shared" si="4"/>
        <v>42.371497295941808</v>
      </c>
      <c r="F63" s="109">
        <v>40507.190499999997</v>
      </c>
      <c r="G63" s="109">
        <v>25958.852389999996</v>
      </c>
      <c r="H63" s="48">
        <f t="shared" si="6"/>
        <v>35.915445950269003</v>
      </c>
      <c r="I63" s="109">
        <f>59474.85392-C63-F63</f>
        <v>299.34848000000056</v>
      </c>
      <c r="J63" s="109">
        <v>0</v>
      </c>
      <c r="K63" s="48">
        <f t="shared" si="7"/>
        <v>100</v>
      </c>
      <c r="L63" s="113">
        <f>2901.1+710.3</f>
        <v>3611.3999999999996</v>
      </c>
      <c r="M63" s="113">
        <v>90</v>
      </c>
      <c r="N63" s="80">
        <v>0</v>
      </c>
      <c r="O63" s="112">
        <v>0</v>
      </c>
      <c r="P63" s="114">
        <v>0</v>
      </c>
      <c r="Q63" s="114">
        <v>0</v>
      </c>
      <c r="R63" s="114">
        <v>0</v>
      </c>
    </row>
    <row r="64" spans="1:18" ht="30" x14ac:dyDescent="0.25">
      <c r="A64" s="73">
        <v>58</v>
      </c>
      <c r="B64" s="32" t="s">
        <v>181</v>
      </c>
      <c r="C64" s="109">
        <v>50377.685460000001</v>
      </c>
      <c r="D64" s="109">
        <f>C64-21497.34662</f>
        <v>28880.33884</v>
      </c>
      <c r="E64" s="48">
        <f t="shared" si="4"/>
        <v>42.672358651865707</v>
      </c>
      <c r="F64" s="111">
        <v>13575.101549999999</v>
      </c>
      <c r="G64" s="111">
        <v>801.51557999999932</v>
      </c>
      <c r="H64" s="48">
        <f t="shared" si="6"/>
        <v>94.095693670888238</v>
      </c>
      <c r="I64" s="109">
        <f>64500.68159-C64-F64</f>
        <v>547.89458000000013</v>
      </c>
      <c r="J64" s="109">
        <f>64500.68159-34456.82717-D64-G64</f>
        <v>362.00000000000364</v>
      </c>
      <c r="K64" s="48">
        <f t="shared" si="7"/>
        <v>33.928895591556405</v>
      </c>
      <c r="L64" s="113">
        <v>3220.75</v>
      </c>
      <c r="M64" s="80">
        <v>0</v>
      </c>
      <c r="N64" s="80">
        <v>0</v>
      </c>
      <c r="O64" s="112">
        <v>0</v>
      </c>
      <c r="P64" s="114">
        <v>0</v>
      </c>
      <c r="Q64" s="114">
        <v>0</v>
      </c>
      <c r="R64" s="114">
        <v>0</v>
      </c>
    </row>
    <row r="65" spans="1:18" ht="30" x14ac:dyDescent="0.25">
      <c r="A65" s="73">
        <v>59</v>
      </c>
      <c r="B65" s="32" t="s">
        <v>182</v>
      </c>
      <c r="C65" s="109">
        <v>26953.26814</v>
      </c>
      <c r="D65" s="109">
        <f>C65-20326.55654</f>
        <v>6626.7115999999987</v>
      </c>
      <c r="E65" s="48">
        <f t="shared" si="4"/>
        <v>75.414070139547846</v>
      </c>
      <c r="F65" s="111">
        <v>17952.97292</v>
      </c>
      <c r="G65" s="111">
        <v>5764.1955699999999</v>
      </c>
      <c r="H65" s="48">
        <f t="shared" si="6"/>
        <v>67.892807527278336</v>
      </c>
      <c r="I65" s="109">
        <f>44993.18941-C65-F65</f>
        <v>86.948349999998754</v>
      </c>
      <c r="J65" s="109">
        <v>0</v>
      </c>
      <c r="K65" s="48">
        <f t="shared" si="7"/>
        <v>100</v>
      </c>
      <c r="L65" s="113">
        <v>1769.46</v>
      </c>
      <c r="M65" s="113">
        <v>81.3</v>
      </c>
      <c r="N65" s="80">
        <v>0</v>
      </c>
      <c r="O65" s="112">
        <v>0</v>
      </c>
      <c r="P65" s="114">
        <v>0</v>
      </c>
      <c r="Q65" s="114">
        <v>0</v>
      </c>
      <c r="R65" s="114">
        <v>0</v>
      </c>
    </row>
    <row r="66" spans="1:18" ht="30" x14ac:dyDescent="0.25">
      <c r="A66" s="73">
        <v>60</v>
      </c>
      <c r="B66" s="32" t="s">
        <v>183</v>
      </c>
      <c r="C66" s="109">
        <v>3402.2156100000002</v>
      </c>
      <c r="D66" s="109">
        <f>C66-1224.79772</f>
        <v>2177.4178900000002</v>
      </c>
      <c r="E66" s="48">
        <f t="shared" si="4"/>
        <v>36.000002951018146</v>
      </c>
      <c r="F66" s="111">
        <v>6007.4713700000002</v>
      </c>
      <c r="G66" s="111">
        <v>738.43373000000065</v>
      </c>
      <c r="H66" s="48">
        <f t="shared" si="6"/>
        <v>87.708077416938224</v>
      </c>
      <c r="I66" s="109">
        <f>9460.68698-C66-F66</f>
        <v>51</v>
      </c>
      <c r="J66" s="109">
        <v>0</v>
      </c>
      <c r="K66" s="48">
        <f t="shared" si="7"/>
        <v>100</v>
      </c>
      <c r="L66" s="113">
        <v>1070.48</v>
      </c>
      <c r="M66" s="80">
        <v>0</v>
      </c>
      <c r="N66" s="80">
        <v>0</v>
      </c>
      <c r="O66" s="112">
        <v>0</v>
      </c>
      <c r="P66" s="114">
        <v>0</v>
      </c>
      <c r="Q66" s="114">
        <v>0</v>
      </c>
      <c r="R66" s="114">
        <v>0</v>
      </c>
    </row>
    <row r="67" spans="1:18" ht="30" x14ac:dyDescent="0.25">
      <c r="A67" s="73">
        <v>61</v>
      </c>
      <c r="B67" s="32" t="s">
        <v>184</v>
      </c>
      <c r="C67" s="109">
        <v>4657.8463300000003</v>
      </c>
      <c r="D67" s="109">
        <f>C67-2342.89682</f>
        <v>2314.9495100000004</v>
      </c>
      <c r="E67" s="48">
        <f t="shared" si="4"/>
        <v>50.300002490636054</v>
      </c>
      <c r="F67" s="111">
        <v>6718.8228499999996</v>
      </c>
      <c r="G67" s="111">
        <v>742.23685999999998</v>
      </c>
      <c r="H67" s="48">
        <f t="shared" si="6"/>
        <v>88.952873493308431</v>
      </c>
      <c r="I67" s="109">
        <f>11468.52295-C67-F67</f>
        <v>91.853770000000623</v>
      </c>
      <c r="J67" s="109">
        <v>0</v>
      </c>
      <c r="K67" s="48">
        <f t="shared" si="7"/>
        <v>100</v>
      </c>
      <c r="L67" s="113">
        <v>3125.9</v>
      </c>
      <c r="M67" s="80">
        <v>0</v>
      </c>
      <c r="N67" s="80">
        <v>0</v>
      </c>
      <c r="O67" s="112">
        <v>0</v>
      </c>
      <c r="P67" s="114">
        <v>0</v>
      </c>
      <c r="Q67" s="114">
        <v>0</v>
      </c>
      <c r="R67" s="114">
        <v>0</v>
      </c>
    </row>
    <row r="68" spans="1:18" x14ac:dyDescent="0.25">
      <c r="A68" s="73">
        <v>62</v>
      </c>
      <c r="B68" s="32" t="s">
        <v>185</v>
      </c>
      <c r="C68" s="109">
        <v>0</v>
      </c>
      <c r="D68" s="109">
        <v>0</v>
      </c>
      <c r="E68" s="48">
        <v>0</v>
      </c>
      <c r="F68" s="111">
        <v>1909.29593</v>
      </c>
      <c r="G68" s="111">
        <v>0</v>
      </c>
      <c r="H68" s="48">
        <f t="shared" si="6"/>
        <v>100</v>
      </c>
      <c r="I68" s="109">
        <f>2066.55418-C68-F68</f>
        <v>157.25825000000009</v>
      </c>
      <c r="J68" s="109">
        <v>0</v>
      </c>
      <c r="K68" s="48">
        <f t="shared" si="7"/>
        <v>100</v>
      </c>
      <c r="L68" s="80">
        <v>0</v>
      </c>
      <c r="M68" s="80">
        <v>0</v>
      </c>
      <c r="N68" s="80">
        <v>0</v>
      </c>
      <c r="O68" s="112">
        <v>0</v>
      </c>
      <c r="P68" s="114">
        <v>0</v>
      </c>
      <c r="Q68" s="114">
        <v>0</v>
      </c>
      <c r="R68" s="114">
        <v>0</v>
      </c>
    </row>
    <row r="69" spans="1:18" x14ac:dyDescent="0.25">
      <c r="A69" s="73">
        <v>63</v>
      </c>
      <c r="B69" s="32" t="s">
        <v>186</v>
      </c>
      <c r="C69" s="109">
        <v>0</v>
      </c>
      <c r="D69" s="109">
        <v>0</v>
      </c>
      <c r="E69" s="48">
        <v>0</v>
      </c>
      <c r="F69" s="111">
        <v>540.44359999999995</v>
      </c>
      <c r="G69" s="111">
        <v>0</v>
      </c>
      <c r="H69" s="48">
        <f t="shared" si="6"/>
        <v>100</v>
      </c>
      <c r="I69" s="109">
        <f>719.6941-C69-F69</f>
        <v>179.2505000000001</v>
      </c>
      <c r="J69" s="109">
        <f>719.6941-715.09062-D69-G69</f>
        <v>4.6034800000001042</v>
      </c>
      <c r="K69" s="48">
        <f t="shared" si="7"/>
        <v>97.431817484470002</v>
      </c>
      <c r="L69" s="80">
        <v>0</v>
      </c>
      <c r="M69" s="80">
        <v>0</v>
      </c>
      <c r="N69" s="80">
        <v>0</v>
      </c>
      <c r="O69" s="112">
        <v>0</v>
      </c>
      <c r="P69" s="114">
        <v>0</v>
      </c>
      <c r="Q69" s="114">
        <v>0</v>
      </c>
      <c r="R69" s="114">
        <v>0</v>
      </c>
    </row>
    <row r="70" spans="1:18" x14ac:dyDescent="0.25">
      <c r="A70" s="73">
        <v>64</v>
      </c>
      <c r="B70" s="32" t="s">
        <v>187</v>
      </c>
      <c r="C70" s="109">
        <v>0</v>
      </c>
      <c r="D70" s="109">
        <v>0</v>
      </c>
      <c r="E70" s="48">
        <v>0</v>
      </c>
      <c r="F70" s="111">
        <v>2500.54673</v>
      </c>
      <c r="G70" s="111">
        <v>183.76621000000023</v>
      </c>
      <c r="H70" s="48">
        <f t="shared" si="6"/>
        <v>92.65095877652324</v>
      </c>
      <c r="I70" s="109">
        <f>2733.54673-C70-F70</f>
        <v>233</v>
      </c>
      <c r="J70" s="109">
        <f>2733.84673-2493.37488-D70-G70</f>
        <v>56.70564000000013</v>
      </c>
      <c r="K70" s="48">
        <f t="shared" si="7"/>
        <v>75.66281545064372</v>
      </c>
      <c r="L70" s="80">
        <v>0</v>
      </c>
      <c r="M70" s="80">
        <v>0</v>
      </c>
      <c r="N70" s="80">
        <v>0</v>
      </c>
      <c r="O70" s="112">
        <v>0</v>
      </c>
      <c r="P70" s="114">
        <v>0</v>
      </c>
      <c r="Q70" s="114">
        <v>0</v>
      </c>
      <c r="R70" s="114">
        <v>0</v>
      </c>
    </row>
    <row r="71" spans="1:18" x14ac:dyDescent="0.25">
      <c r="A71" s="73">
        <v>65</v>
      </c>
      <c r="B71" s="32" t="s">
        <v>188</v>
      </c>
      <c r="C71" s="109">
        <v>0</v>
      </c>
      <c r="D71" s="109">
        <v>0</v>
      </c>
      <c r="E71" s="48">
        <v>0</v>
      </c>
      <c r="F71" s="111">
        <v>1313.13942</v>
      </c>
      <c r="G71" s="111">
        <v>4.0664799999999559</v>
      </c>
      <c r="H71" s="48">
        <f t="shared" si="6"/>
        <v>99.690323819537767</v>
      </c>
      <c r="I71" s="109">
        <f>1313.13942-C71-F71</f>
        <v>0</v>
      </c>
      <c r="J71" s="109">
        <f>1313.13942-1309.07294-D71-G71</f>
        <v>0</v>
      </c>
      <c r="K71" s="48">
        <v>0</v>
      </c>
      <c r="L71" s="80">
        <v>0</v>
      </c>
      <c r="M71" s="80">
        <v>0</v>
      </c>
      <c r="N71" s="80">
        <v>0</v>
      </c>
      <c r="O71" s="112">
        <v>0</v>
      </c>
      <c r="P71" s="114">
        <v>0</v>
      </c>
      <c r="Q71" s="114">
        <v>0</v>
      </c>
      <c r="R71" s="114">
        <v>0</v>
      </c>
    </row>
    <row r="72" spans="1:18" ht="30" x14ac:dyDescent="0.25">
      <c r="A72" s="73">
        <v>66</v>
      </c>
      <c r="B72" s="32" t="s">
        <v>189</v>
      </c>
      <c r="C72" s="109">
        <v>0</v>
      </c>
      <c r="D72" s="109">
        <v>0</v>
      </c>
      <c r="E72" s="48">
        <v>0</v>
      </c>
      <c r="F72" s="111">
        <v>0</v>
      </c>
      <c r="G72" s="111">
        <v>0</v>
      </c>
      <c r="H72" s="48">
        <v>0</v>
      </c>
      <c r="I72" s="109">
        <v>0</v>
      </c>
      <c r="J72" s="109">
        <v>0</v>
      </c>
      <c r="K72" s="48">
        <v>0</v>
      </c>
      <c r="L72" s="80">
        <v>0</v>
      </c>
      <c r="M72" s="80">
        <v>0</v>
      </c>
      <c r="N72" s="80">
        <v>0</v>
      </c>
      <c r="O72" s="112">
        <v>0</v>
      </c>
      <c r="P72" s="114">
        <v>0</v>
      </c>
      <c r="Q72" s="114">
        <v>0</v>
      </c>
      <c r="R72" s="114">
        <v>0</v>
      </c>
    </row>
    <row r="73" spans="1:18" ht="43.5" customHeight="1" x14ac:dyDescent="0.25">
      <c r="A73" s="73">
        <v>67</v>
      </c>
      <c r="B73" s="32" t="s">
        <v>190</v>
      </c>
      <c r="C73" s="109">
        <v>0</v>
      </c>
      <c r="D73" s="109">
        <v>0</v>
      </c>
      <c r="E73" s="48">
        <v>0</v>
      </c>
      <c r="F73" s="111">
        <v>627.94881999999996</v>
      </c>
      <c r="G73" s="111">
        <v>389.99999999999994</v>
      </c>
      <c r="H73" s="48">
        <f t="shared" si="6"/>
        <v>37.893027651521031</v>
      </c>
      <c r="I73" s="109">
        <f>1261.81996-C73-F73</f>
        <v>633.87114000000008</v>
      </c>
      <c r="J73" s="109">
        <f>1261.81996-871.81996-D73-G73</f>
        <v>0</v>
      </c>
      <c r="K73" s="48">
        <f t="shared" si="7"/>
        <v>100</v>
      </c>
      <c r="L73" s="80">
        <v>0</v>
      </c>
      <c r="M73" s="80">
        <v>0</v>
      </c>
      <c r="N73" s="80">
        <v>0</v>
      </c>
      <c r="O73" s="112">
        <v>0</v>
      </c>
      <c r="P73" s="114">
        <v>0</v>
      </c>
      <c r="Q73" s="114">
        <v>0</v>
      </c>
      <c r="R73" s="114">
        <v>0</v>
      </c>
    </row>
    <row r="74" spans="1:18" ht="30" x14ac:dyDescent="0.25">
      <c r="A74" s="73">
        <v>68</v>
      </c>
      <c r="B74" s="32" t="s">
        <v>191</v>
      </c>
      <c r="C74" s="109">
        <v>0</v>
      </c>
      <c r="D74" s="109">
        <v>0</v>
      </c>
      <c r="E74" s="48">
        <v>0</v>
      </c>
      <c r="F74" s="111">
        <v>227.14066</v>
      </c>
      <c r="G74" s="111">
        <v>0</v>
      </c>
      <c r="H74" s="48">
        <f t="shared" si="6"/>
        <v>100</v>
      </c>
      <c r="I74" s="109">
        <f>241.54066-C74-F74</f>
        <v>14.400000000000006</v>
      </c>
      <c r="J74" s="109">
        <f>241.54066-241.54066-D74-G74</f>
        <v>0</v>
      </c>
      <c r="K74" s="48">
        <f t="shared" si="7"/>
        <v>100</v>
      </c>
      <c r="L74" s="80">
        <v>0</v>
      </c>
      <c r="M74" s="113">
        <v>395.5</v>
      </c>
      <c r="N74" s="80">
        <v>0</v>
      </c>
      <c r="O74" s="112">
        <v>0</v>
      </c>
      <c r="P74" s="114">
        <v>0</v>
      </c>
      <c r="Q74" s="114">
        <v>0</v>
      </c>
      <c r="R74" s="114">
        <v>0</v>
      </c>
    </row>
    <row r="75" spans="1:18" x14ac:dyDescent="0.25">
      <c r="A75" s="73">
        <v>69</v>
      </c>
      <c r="B75" s="32" t="s">
        <v>192</v>
      </c>
      <c r="C75" s="109">
        <v>0</v>
      </c>
      <c r="D75" s="109">
        <v>0</v>
      </c>
      <c r="E75" s="48">
        <v>0</v>
      </c>
      <c r="F75" s="111">
        <v>1396.4692399999999</v>
      </c>
      <c r="G75" s="111">
        <v>0</v>
      </c>
      <c r="H75" s="48">
        <f t="shared" si="6"/>
        <v>100</v>
      </c>
      <c r="I75" s="109">
        <f>1486.46924-C75-F75</f>
        <v>90</v>
      </c>
      <c r="J75" s="109">
        <f>1486.46924-1486.46924-D75-G75</f>
        <v>0</v>
      </c>
      <c r="K75" s="48">
        <f t="shared" si="7"/>
        <v>100</v>
      </c>
      <c r="L75" s="80">
        <v>0</v>
      </c>
      <c r="M75" s="80">
        <v>0</v>
      </c>
      <c r="N75" s="80">
        <v>0</v>
      </c>
      <c r="O75" s="112">
        <v>0</v>
      </c>
      <c r="P75" s="114">
        <v>0</v>
      </c>
      <c r="Q75" s="114">
        <v>0</v>
      </c>
      <c r="R75" s="114">
        <v>0</v>
      </c>
    </row>
    <row r="76" spans="1:18" x14ac:dyDescent="0.25">
      <c r="A76" s="73">
        <v>70</v>
      </c>
      <c r="B76" s="33" t="s">
        <v>193</v>
      </c>
      <c r="C76" s="109">
        <v>3575.5445100000002</v>
      </c>
      <c r="D76" s="109">
        <f>C76-2352.10719</f>
        <v>1223.43732</v>
      </c>
      <c r="E76" s="48">
        <f t="shared" si="4"/>
        <v>65.783188642224459</v>
      </c>
      <c r="F76" s="111">
        <v>5700.6939000000002</v>
      </c>
      <c r="G76" s="111">
        <v>575.32976000000053</v>
      </c>
      <c r="H76" s="48">
        <f t="shared" si="6"/>
        <v>89.907724040401462</v>
      </c>
      <c r="I76" s="111">
        <f>9320.57383-C76-F76</f>
        <v>44.335419999999431</v>
      </c>
      <c r="J76" s="109">
        <v>0</v>
      </c>
      <c r="K76" s="48">
        <f t="shared" si="7"/>
        <v>100</v>
      </c>
      <c r="L76" s="80">
        <v>670.3</v>
      </c>
      <c r="M76" s="80">
        <v>185.5</v>
      </c>
      <c r="N76" s="80">
        <v>0</v>
      </c>
      <c r="O76" s="112">
        <v>0</v>
      </c>
      <c r="P76" s="114">
        <v>0</v>
      </c>
      <c r="Q76" s="114">
        <v>0</v>
      </c>
      <c r="R76" s="114">
        <v>0</v>
      </c>
    </row>
    <row r="77" spans="1:18" ht="75" x14ac:dyDescent="0.25">
      <c r="A77" s="73">
        <v>71</v>
      </c>
      <c r="B77" s="33" t="s">
        <v>79</v>
      </c>
      <c r="C77" s="58">
        <v>3510.1088599999998</v>
      </c>
      <c r="D77" s="58">
        <v>3046.5</v>
      </c>
      <c r="E77" s="48">
        <f t="shared" ref="E77" si="8">((C77-D77)/C77)*100</f>
        <v>13.207819999064071</v>
      </c>
      <c r="F77" s="58">
        <v>10696.4</v>
      </c>
      <c r="G77" s="58">
        <v>1688.1</v>
      </c>
      <c r="H77" s="48">
        <f t="shared" ref="H77:H83" si="9">((F77-G77)/F77)*100</f>
        <v>84.218054672600118</v>
      </c>
      <c r="I77" s="58">
        <v>19237</v>
      </c>
      <c r="J77" s="59">
        <v>29.3</v>
      </c>
      <c r="K77" s="48">
        <f t="shared" ref="K77:K81" si="10">((I77-J77)/I77)*100</f>
        <v>99.847689348651031</v>
      </c>
      <c r="L77" s="58">
        <v>2868.2</v>
      </c>
      <c r="M77" s="58">
        <v>2706.2</v>
      </c>
      <c r="N77" s="58">
        <v>162</v>
      </c>
      <c r="O77" s="58" t="s">
        <v>121</v>
      </c>
      <c r="P77" s="48">
        <v>38.4</v>
      </c>
      <c r="Q77" s="48">
        <v>26.377389999999998</v>
      </c>
      <c r="R77" s="48">
        <f t="shared" ref="R77:R83" si="11">P77+Q77</f>
        <v>64.777389999999997</v>
      </c>
    </row>
    <row r="78" spans="1:18" ht="30" x14ac:dyDescent="0.25">
      <c r="A78" s="73">
        <v>72</v>
      </c>
      <c r="B78" s="33" t="s">
        <v>80</v>
      </c>
      <c r="C78" s="58">
        <v>0</v>
      </c>
      <c r="D78" s="58">
        <v>0</v>
      </c>
      <c r="E78" s="48">
        <v>0</v>
      </c>
      <c r="F78" s="58">
        <v>533.64300000000003</v>
      </c>
      <c r="G78" s="58">
        <v>38.665999999999997</v>
      </c>
      <c r="H78" s="48">
        <f>((F78-G78)/F78)*100</f>
        <v>92.754332015973233</v>
      </c>
      <c r="I78" s="58">
        <v>0</v>
      </c>
      <c r="J78" s="58">
        <v>0</v>
      </c>
      <c r="K78" s="48">
        <v>0</v>
      </c>
      <c r="L78" s="58">
        <v>0</v>
      </c>
      <c r="M78" s="58">
        <v>1637.77</v>
      </c>
      <c r="N78" s="58">
        <v>0</v>
      </c>
      <c r="O78" s="58" t="s">
        <v>95</v>
      </c>
      <c r="P78" s="48">
        <v>0</v>
      </c>
      <c r="Q78" s="48">
        <v>0</v>
      </c>
      <c r="R78" s="48">
        <f>P78+Q78</f>
        <v>0</v>
      </c>
    </row>
    <row r="79" spans="1:18" ht="30" x14ac:dyDescent="0.25">
      <c r="A79" s="73">
        <v>73</v>
      </c>
      <c r="B79" s="33" t="s">
        <v>81</v>
      </c>
      <c r="C79" s="58">
        <v>0</v>
      </c>
      <c r="D79" s="58">
        <v>0</v>
      </c>
      <c r="E79" s="48">
        <v>0</v>
      </c>
      <c r="F79" s="58">
        <v>220.14</v>
      </c>
      <c r="G79" s="58">
        <v>0</v>
      </c>
      <c r="H79" s="48">
        <f>((F79-G79)/F79)*100</f>
        <v>100</v>
      </c>
      <c r="I79" s="58">
        <v>0</v>
      </c>
      <c r="J79" s="58">
        <v>0</v>
      </c>
      <c r="K79" s="48">
        <v>0</v>
      </c>
      <c r="L79" s="58">
        <v>0</v>
      </c>
      <c r="M79" s="58">
        <v>439.4</v>
      </c>
      <c r="N79" s="58">
        <v>0</v>
      </c>
      <c r="O79" s="58" t="s">
        <v>95</v>
      </c>
      <c r="P79" s="48">
        <v>0</v>
      </c>
      <c r="Q79" s="48">
        <v>0</v>
      </c>
      <c r="R79" s="48">
        <f>P79+Q79</f>
        <v>0</v>
      </c>
    </row>
    <row r="80" spans="1:18" ht="30" x14ac:dyDescent="0.25">
      <c r="A80" s="73">
        <v>74</v>
      </c>
      <c r="B80" s="33" t="s">
        <v>82</v>
      </c>
      <c r="C80" s="58">
        <v>0</v>
      </c>
      <c r="D80" s="58">
        <v>0</v>
      </c>
      <c r="E80" s="48">
        <v>0</v>
      </c>
      <c r="F80" s="58">
        <v>212.43899999999999</v>
      </c>
      <c r="G80" s="58">
        <v>0</v>
      </c>
      <c r="H80" s="48">
        <f t="shared" si="9"/>
        <v>100</v>
      </c>
      <c r="I80" s="58">
        <v>0</v>
      </c>
      <c r="J80" s="59">
        <v>0</v>
      </c>
      <c r="K80" s="48">
        <v>0</v>
      </c>
      <c r="L80" s="58">
        <v>0</v>
      </c>
      <c r="M80" s="58">
        <v>523.6</v>
      </c>
      <c r="N80" s="58">
        <v>0</v>
      </c>
      <c r="O80" s="58" t="s">
        <v>95</v>
      </c>
      <c r="P80" s="48">
        <v>0</v>
      </c>
      <c r="Q80" s="48">
        <v>0</v>
      </c>
      <c r="R80" s="48">
        <f t="shared" si="11"/>
        <v>0</v>
      </c>
    </row>
    <row r="81" spans="1:64" ht="30" x14ac:dyDescent="0.25">
      <c r="A81" s="73">
        <v>75</v>
      </c>
      <c r="B81" s="32" t="s">
        <v>83</v>
      </c>
      <c r="C81" s="58">
        <v>0</v>
      </c>
      <c r="D81" s="58">
        <v>0</v>
      </c>
      <c r="E81" s="48">
        <v>0</v>
      </c>
      <c r="F81" s="58">
        <v>653.947</v>
      </c>
      <c r="G81" s="58">
        <v>0</v>
      </c>
      <c r="H81" s="48">
        <f t="shared" si="9"/>
        <v>100</v>
      </c>
      <c r="I81" s="58">
        <v>69.402000000000001</v>
      </c>
      <c r="J81" s="58">
        <v>0</v>
      </c>
      <c r="K81" s="48">
        <f t="shared" si="10"/>
        <v>100</v>
      </c>
      <c r="L81" s="58">
        <v>0</v>
      </c>
      <c r="M81" s="58">
        <v>1231</v>
      </c>
      <c r="N81" s="58">
        <v>0</v>
      </c>
      <c r="O81" s="58" t="s">
        <v>95</v>
      </c>
      <c r="P81" s="48">
        <v>0</v>
      </c>
      <c r="Q81" s="48">
        <v>0</v>
      </c>
      <c r="R81" s="48">
        <f t="shared" si="11"/>
        <v>0</v>
      </c>
    </row>
    <row r="82" spans="1:64" ht="30" x14ac:dyDescent="0.25">
      <c r="A82" s="73">
        <v>76</v>
      </c>
      <c r="B82" s="32" t="s">
        <v>84</v>
      </c>
      <c r="C82" s="58">
        <v>0</v>
      </c>
      <c r="D82" s="58">
        <v>0</v>
      </c>
      <c r="E82" s="48">
        <v>0</v>
      </c>
      <c r="F82" s="58">
        <v>0</v>
      </c>
      <c r="G82" s="58">
        <v>0</v>
      </c>
      <c r="H82" s="48">
        <v>0</v>
      </c>
      <c r="I82" s="58">
        <v>0</v>
      </c>
      <c r="J82" s="58">
        <v>0</v>
      </c>
      <c r="K82" s="48">
        <v>0</v>
      </c>
      <c r="L82" s="58">
        <v>0</v>
      </c>
      <c r="M82" s="58">
        <v>732.8</v>
      </c>
      <c r="N82" s="58">
        <v>0</v>
      </c>
      <c r="O82" s="58" t="s">
        <v>95</v>
      </c>
      <c r="P82" s="58">
        <v>0</v>
      </c>
      <c r="Q82" s="58">
        <v>0</v>
      </c>
      <c r="R82" s="48">
        <f t="shared" si="11"/>
        <v>0</v>
      </c>
    </row>
    <row r="83" spans="1:64" ht="45" x14ac:dyDescent="0.25">
      <c r="A83" s="73">
        <v>77</v>
      </c>
      <c r="B83" s="33" t="s">
        <v>85</v>
      </c>
      <c r="C83" s="58">
        <v>0</v>
      </c>
      <c r="D83" s="58">
        <v>0</v>
      </c>
      <c r="E83" s="48">
        <v>0</v>
      </c>
      <c r="F83" s="58">
        <v>2217.8690000000001</v>
      </c>
      <c r="G83" s="58">
        <v>167.90199999999999</v>
      </c>
      <c r="H83" s="48">
        <f t="shared" si="9"/>
        <v>92.429579925595235</v>
      </c>
      <c r="I83" s="58">
        <v>0</v>
      </c>
      <c r="J83" s="58">
        <v>0</v>
      </c>
      <c r="K83" s="48">
        <v>0</v>
      </c>
      <c r="L83" s="58">
        <v>0</v>
      </c>
      <c r="M83" s="58">
        <v>0</v>
      </c>
      <c r="N83" s="58">
        <v>35</v>
      </c>
      <c r="O83" s="58" t="s">
        <v>123</v>
      </c>
      <c r="P83" s="48">
        <v>66</v>
      </c>
      <c r="Q83" s="48">
        <v>0</v>
      </c>
      <c r="R83" s="48">
        <f t="shared" si="11"/>
        <v>66</v>
      </c>
    </row>
    <row r="84" spans="1:64" ht="45" x14ac:dyDescent="0.25">
      <c r="A84" s="73">
        <v>78</v>
      </c>
      <c r="B84" s="33" t="s">
        <v>94</v>
      </c>
      <c r="C84" s="58">
        <v>0</v>
      </c>
      <c r="D84" s="58">
        <v>0</v>
      </c>
      <c r="E84" s="48">
        <v>0</v>
      </c>
      <c r="F84" s="58">
        <v>1207.6769999999999</v>
      </c>
      <c r="G84" s="58">
        <v>106.083</v>
      </c>
      <c r="H84" s="48">
        <f t="shared" ref="H84:H94" si="12">((F84-G84)/F84)*100</f>
        <v>91.215945985557383</v>
      </c>
      <c r="I84" s="58">
        <v>0</v>
      </c>
      <c r="J84" s="58">
        <v>0</v>
      </c>
      <c r="K84" s="48">
        <v>0</v>
      </c>
      <c r="L84" s="58">
        <v>0</v>
      </c>
      <c r="M84" s="58">
        <v>454</v>
      </c>
      <c r="N84" s="58">
        <v>0</v>
      </c>
      <c r="O84" s="58" t="s">
        <v>95</v>
      </c>
      <c r="P84" s="48">
        <v>0</v>
      </c>
      <c r="Q84" s="48">
        <v>0</v>
      </c>
      <c r="R84" s="48">
        <f t="shared" ref="R84:R94" si="13">P84+Q84</f>
        <v>0</v>
      </c>
    </row>
    <row r="85" spans="1:64" ht="45" x14ac:dyDescent="0.25">
      <c r="A85" s="73">
        <v>79</v>
      </c>
      <c r="B85" s="33" t="s">
        <v>86</v>
      </c>
      <c r="C85" s="58">
        <v>0</v>
      </c>
      <c r="D85" s="58">
        <v>0</v>
      </c>
      <c r="E85" s="48">
        <v>0</v>
      </c>
      <c r="F85" s="58">
        <v>3033.3890000000001</v>
      </c>
      <c r="G85" s="58">
        <v>1934.3050000000001</v>
      </c>
      <c r="H85" s="48">
        <f t="shared" si="12"/>
        <v>36.232873528584697</v>
      </c>
      <c r="I85" s="58">
        <v>683.59299999999996</v>
      </c>
      <c r="J85" s="58">
        <v>420.42700000000002</v>
      </c>
      <c r="K85" s="48">
        <f>((I85-J85)/I85)*100</f>
        <v>38.497468522936892</v>
      </c>
      <c r="L85" s="58">
        <v>0</v>
      </c>
      <c r="M85" s="58">
        <v>2044.3</v>
      </c>
      <c r="N85" s="58">
        <v>0</v>
      </c>
      <c r="O85" s="58" t="s">
        <v>95</v>
      </c>
      <c r="P85" s="48">
        <v>0</v>
      </c>
      <c r="Q85" s="48">
        <v>0</v>
      </c>
      <c r="R85" s="48">
        <f t="shared" si="13"/>
        <v>0</v>
      </c>
    </row>
    <row r="86" spans="1:64" ht="45" x14ac:dyDescent="0.25">
      <c r="A86" s="73">
        <v>80</v>
      </c>
      <c r="B86" s="33" t="s">
        <v>87</v>
      </c>
      <c r="C86" s="58">
        <v>0</v>
      </c>
      <c r="D86" s="58">
        <v>0</v>
      </c>
      <c r="E86" s="48">
        <v>0</v>
      </c>
      <c r="F86" s="58">
        <v>528.1</v>
      </c>
      <c r="G86" s="58">
        <v>0</v>
      </c>
      <c r="H86" s="48">
        <f t="shared" si="12"/>
        <v>100</v>
      </c>
      <c r="I86" s="58">
        <v>0</v>
      </c>
      <c r="J86" s="58">
        <v>0</v>
      </c>
      <c r="K86" s="48">
        <v>0</v>
      </c>
      <c r="L86" s="58">
        <v>0</v>
      </c>
      <c r="M86" s="58">
        <v>757.87</v>
      </c>
      <c r="N86" s="58">
        <v>158.37</v>
      </c>
      <c r="O86" s="58" t="s">
        <v>122</v>
      </c>
      <c r="P86" s="58">
        <v>280.60000000000002</v>
      </c>
      <c r="Q86" s="58">
        <v>0</v>
      </c>
      <c r="R86" s="48">
        <f t="shared" si="13"/>
        <v>280.60000000000002</v>
      </c>
    </row>
    <row r="87" spans="1:64" ht="30" x14ac:dyDescent="0.25">
      <c r="A87" s="73">
        <v>81</v>
      </c>
      <c r="B87" s="33" t="s">
        <v>88</v>
      </c>
      <c r="C87" s="58">
        <v>0</v>
      </c>
      <c r="D87" s="58">
        <v>0</v>
      </c>
      <c r="E87" s="48">
        <v>0</v>
      </c>
      <c r="F87" s="58">
        <v>176.64</v>
      </c>
      <c r="G87" s="58">
        <v>0</v>
      </c>
      <c r="H87" s="48">
        <f t="shared" si="12"/>
        <v>100</v>
      </c>
      <c r="I87" s="58">
        <v>18</v>
      </c>
      <c r="J87" s="58">
        <v>18</v>
      </c>
      <c r="K87" s="48">
        <f>((I87-J87)/I87)*100</f>
        <v>0</v>
      </c>
      <c r="L87" s="58">
        <v>0</v>
      </c>
      <c r="M87" s="58">
        <v>951.75</v>
      </c>
      <c r="N87" s="58">
        <v>0</v>
      </c>
      <c r="O87" s="58" t="s">
        <v>95</v>
      </c>
      <c r="P87" s="48">
        <v>0</v>
      </c>
      <c r="Q87" s="48">
        <v>0</v>
      </c>
      <c r="R87" s="48">
        <f t="shared" si="13"/>
        <v>0</v>
      </c>
    </row>
    <row r="88" spans="1:64" ht="45" x14ac:dyDescent="0.25">
      <c r="A88" s="73">
        <v>82</v>
      </c>
      <c r="B88" s="33" t="s">
        <v>89</v>
      </c>
      <c r="C88" s="58">
        <v>0</v>
      </c>
      <c r="D88" s="58">
        <v>0</v>
      </c>
      <c r="E88" s="48">
        <v>0</v>
      </c>
      <c r="F88" s="58">
        <v>843.779</v>
      </c>
      <c r="G88" s="58">
        <v>0</v>
      </c>
      <c r="H88" s="48">
        <f t="shared" si="12"/>
        <v>100</v>
      </c>
      <c r="I88" s="58">
        <v>0</v>
      </c>
      <c r="J88" s="58">
        <v>0</v>
      </c>
      <c r="K88" s="48">
        <v>0</v>
      </c>
      <c r="L88" s="58">
        <v>0</v>
      </c>
      <c r="M88" s="58">
        <v>579.29999999999995</v>
      </c>
      <c r="N88" s="58">
        <v>0</v>
      </c>
      <c r="O88" s="58" t="s">
        <v>95</v>
      </c>
      <c r="P88" s="48">
        <v>0</v>
      </c>
      <c r="Q88" s="48">
        <v>0</v>
      </c>
      <c r="R88" s="48">
        <f t="shared" si="13"/>
        <v>0</v>
      </c>
    </row>
    <row r="89" spans="1:64" ht="45" x14ac:dyDescent="0.25">
      <c r="A89" s="73">
        <v>83</v>
      </c>
      <c r="B89" s="33" t="s">
        <v>103</v>
      </c>
      <c r="C89" s="58">
        <v>70</v>
      </c>
      <c r="D89" s="58">
        <v>0</v>
      </c>
      <c r="E89" s="48">
        <f t="shared" ref="E89:E94" si="14">((C89-D89)/C89)*100</f>
        <v>100</v>
      </c>
      <c r="F89" s="58">
        <v>733.25199999999995</v>
      </c>
      <c r="G89" s="58">
        <v>0</v>
      </c>
      <c r="H89" s="48">
        <f t="shared" si="12"/>
        <v>100</v>
      </c>
      <c r="I89" s="58">
        <v>580.928</v>
      </c>
      <c r="J89" s="59">
        <v>0</v>
      </c>
      <c r="K89" s="48">
        <f t="shared" ref="K89:K94" si="15">((I89-J89)/I89)*100</f>
        <v>100</v>
      </c>
      <c r="L89" s="58">
        <v>0</v>
      </c>
      <c r="M89" s="58">
        <v>325</v>
      </c>
      <c r="N89" s="58">
        <v>0</v>
      </c>
      <c r="O89" s="58" t="s">
        <v>95</v>
      </c>
      <c r="P89" s="48">
        <v>0</v>
      </c>
      <c r="Q89" s="48">
        <v>0</v>
      </c>
      <c r="R89" s="48">
        <f t="shared" si="13"/>
        <v>0</v>
      </c>
    </row>
    <row r="90" spans="1:64" s="31" customFormat="1" ht="45" x14ac:dyDescent="0.25">
      <c r="A90" s="73">
        <v>84</v>
      </c>
      <c r="B90" s="33" t="s">
        <v>90</v>
      </c>
      <c r="C90" s="58">
        <v>266.25</v>
      </c>
      <c r="D90" s="58">
        <v>148.56800000000001</v>
      </c>
      <c r="E90" s="48">
        <f t="shared" si="14"/>
        <v>44.199812206572766</v>
      </c>
      <c r="F90" s="58">
        <v>1579.288</v>
      </c>
      <c r="G90" s="58">
        <v>421.22899999999998</v>
      </c>
      <c r="H90" s="48">
        <f t="shared" si="12"/>
        <v>73.327917390621593</v>
      </c>
      <c r="I90" s="58">
        <v>289.03800000000001</v>
      </c>
      <c r="J90" s="58">
        <v>29.343</v>
      </c>
      <c r="K90" s="48">
        <f t="shared" si="15"/>
        <v>89.848047661553139</v>
      </c>
      <c r="L90" s="58">
        <v>362</v>
      </c>
      <c r="M90" s="58">
        <v>0</v>
      </c>
      <c r="N90" s="58">
        <v>0</v>
      </c>
      <c r="O90" s="58" t="s">
        <v>95</v>
      </c>
      <c r="P90" s="48">
        <v>0</v>
      </c>
      <c r="Q90" s="48">
        <v>0</v>
      </c>
      <c r="R90" s="48">
        <f t="shared" si="13"/>
        <v>0</v>
      </c>
      <c r="S90" s="3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</row>
    <row r="91" spans="1:64" s="31" customFormat="1" ht="60" x14ac:dyDescent="0.25">
      <c r="A91" s="73">
        <v>85</v>
      </c>
      <c r="B91" s="33" t="s">
        <v>91</v>
      </c>
      <c r="C91" s="58">
        <v>4493.0950000000003</v>
      </c>
      <c r="D91" s="58">
        <v>2208.3409999999999</v>
      </c>
      <c r="E91" s="48">
        <f t="shared" si="14"/>
        <v>50.850338129952746</v>
      </c>
      <c r="F91" s="58">
        <v>4290.7219999999998</v>
      </c>
      <c r="G91" s="58">
        <v>1770.1949999999999</v>
      </c>
      <c r="H91" s="48">
        <f t="shared" si="12"/>
        <v>58.743656661979038</v>
      </c>
      <c r="I91" s="58">
        <v>555.33799999999997</v>
      </c>
      <c r="J91" s="58">
        <v>0</v>
      </c>
      <c r="K91" s="48">
        <f t="shared" si="15"/>
        <v>100</v>
      </c>
      <c r="L91" s="58">
        <v>781.8</v>
      </c>
      <c r="M91" s="58">
        <v>0</v>
      </c>
      <c r="N91" s="58">
        <v>0</v>
      </c>
      <c r="O91" s="58" t="s">
        <v>95</v>
      </c>
      <c r="P91" s="58">
        <v>0</v>
      </c>
      <c r="Q91" s="58">
        <v>0</v>
      </c>
      <c r="R91" s="48">
        <f t="shared" si="13"/>
        <v>0</v>
      </c>
      <c r="S91" s="3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</row>
    <row r="92" spans="1:64" s="31" customFormat="1" ht="45" x14ac:dyDescent="0.25">
      <c r="A92" s="73">
        <v>86</v>
      </c>
      <c r="B92" s="33" t="s">
        <v>92</v>
      </c>
      <c r="C92" s="58">
        <v>5421.2920000000004</v>
      </c>
      <c r="D92" s="58">
        <v>0</v>
      </c>
      <c r="E92" s="48">
        <f t="shared" si="14"/>
        <v>100</v>
      </c>
      <c r="F92" s="58">
        <v>4709.4759999999997</v>
      </c>
      <c r="G92" s="58">
        <v>2080.442</v>
      </c>
      <c r="H92" s="48">
        <f t="shared" si="12"/>
        <v>55.824342241047617</v>
      </c>
      <c r="I92" s="58">
        <v>445.95600000000002</v>
      </c>
      <c r="J92" s="58">
        <v>0</v>
      </c>
      <c r="K92" s="48">
        <f t="shared" si="15"/>
        <v>100</v>
      </c>
      <c r="L92" s="58">
        <v>464</v>
      </c>
      <c r="M92" s="58">
        <v>246</v>
      </c>
      <c r="N92" s="58">
        <v>0</v>
      </c>
      <c r="O92" s="58" t="s">
        <v>95</v>
      </c>
      <c r="P92" s="48">
        <v>0</v>
      </c>
      <c r="Q92" s="48">
        <v>0</v>
      </c>
      <c r="R92" s="48">
        <f t="shared" si="13"/>
        <v>0</v>
      </c>
      <c r="S92" s="3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</row>
    <row r="93" spans="1:64" s="31" customFormat="1" ht="45" x14ac:dyDescent="0.25">
      <c r="A93" s="73">
        <v>87</v>
      </c>
      <c r="B93" s="33" t="s">
        <v>93</v>
      </c>
      <c r="C93" s="58">
        <v>1053.662</v>
      </c>
      <c r="D93" s="58">
        <v>0</v>
      </c>
      <c r="E93" s="48">
        <f t="shared" si="14"/>
        <v>100</v>
      </c>
      <c r="F93" s="58">
        <v>1981.327</v>
      </c>
      <c r="G93" s="58">
        <v>557.13099999999997</v>
      </c>
      <c r="H93" s="48">
        <f t="shared" si="12"/>
        <v>71.880916173857216</v>
      </c>
      <c r="I93" s="58">
        <v>1633.662</v>
      </c>
      <c r="J93" s="58">
        <v>900.80100000000004</v>
      </c>
      <c r="K93" s="48">
        <f t="shared" si="15"/>
        <v>44.860013882920704</v>
      </c>
      <c r="L93" s="58">
        <v>165.9</v>
      </c>
      <c r="M93" s="58">
        <v>196.9</v>
      </c>
      <c r="N93" s="58">
        <v>0</v>
      </c>
      <c r="O93" s="58" t="s">
        <v>95</v>
      </c>
      <c r="P93" s="48">
        <v>0</v>
      </c>
      <c r="Q93" s="48">
        <v>0</v>
      </c>
      <c r="R93" s="48">
        <f t="shared" si="13"/>
        <v>0</v>
      </c>
      <c r="S93" s="3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pans="1:64" s="31" customFormat="1" x14ac:dyDescent="0.25">
      <c r="A94" s="73">
        <v>88</v>
      </c>
      <c r="B94" s="33" t="s">
        <v>120</v>
      </c>
      <c r="C94" s="58">
        <v>939.53545999999994</v>
      </c>
      <c r="D94" s="58">
        <v>400.88400000000001</v>
      </c>
      <c r="E94" s="48">
        <f t="shared" si="14"/>
        <v>57.331679636657881</v>
      </c>
      <c r="F94" s="58">
        <v>5673.4083000000001</v>
      </c>
      <c r="G94" s="58">
        <v>1423.796</v>
      </c>
      <c r="H94" s="48">
        <f t="shared" si="12"/>
        <v>74.904044893084816</v>
      </c>
      <c r="I94" s="58">
        <v>3277.4810000000002</v>
      </c>
      <c r="J94" s="58">
        <v>938.90700000000004</v>
      </c>
      <c r="K94" s="48">
        <f t="shared" si="15"/>
        <v>71.352785874273565</v>
      </c>
      <c r="L94" s="58">
        <v>762.6</v>
      </c>
      <c r="M94" s="58">
        <v>0</v>
      </c>
      <c r="N94" s="58">
        <v>0</v>
      </c>
      <c r="O94" s="58" t="s">
        <v>95</v>
      </c>
      <c r="P94" s="48">
        <v>0</v>
      </c>
      <c r="Q94" s="48">
        <v>0</v>
      </c>
      <c r="R94" s="48">
        <f t="shared" si="13"/>
        <v>0</v>
      </c>
      <c r="S94" s="3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</row>
    <row r="95" spans="1:64" s="28" customFormat="1" ht="34.5" customHeight="1" x14ac:dyDescent="0.2">
      <c r="A95" s="27"/>
      <c r="B95" s="41" t="s">
        <v>18</v>
      </c>
      <c r="C95" s="52">
        <f>SUM(C7:C83)</f>
        <v>4005430.40876</v>
      </c>
      <c r="D95" s="52">
        <f>SUM(D7:D83)</f>
        <v>3378591.7515000007</v>
      </c>
      <c r="E95" s="52">
        <f>AVERAGE(E7:E83)</f>
        <v>39.529519922791799</v>
      </c>
      <c r="F95" s="52">
        <f>SUM(F7:F83)</f>
        <v>899017.37276000029</v>
      </c>
      <c r="G95" s="52">
        <f>SUM(G7:G83)</f>
        <v>192003.74686000001</v>
      </c>
      <c r="H95" s="52">
        <f>AVERAGE(H7:H83)</f>
        <v>84.879656750351913</v>
      </c>
      <c r="I95" s="60">
        <f>SUM(I7:I83)</f>
        <v>41003.318750000115</v>
      </c>
      <c r="J95" s="60">
        <f>SUM(J7:J83)</f>
        <v>6737.3845800001573</v>
      </c>
      <c r="K95" s="60">
        <f>AVERAGE(K7:K83)</f>
        <v>70.428759743486708</v>
      </c>
      <c r="L95" s="52">
        <f>SUM(L7:L83)</f>
        <v>179224.74999999991</v>
      </c>
      <c r="M95" s="52">
        <f>SUM(M7:M83)</f>
        <v>10154.68</v>
      </c>
      <c r="N95" s="52">
        <f>SUM(N7:N83)</f>
        <v>500.1</v>
      </c>
      <c r="O95" s="52" t="s">
        <v>95</v>
      </c>
      <c r="P95" s="52">
        <f>SUM(P7:P83)</f>
        <v>104.4</v>
      </c>
      <c r="Q95" s="52">
        <f>SUM(Q7:Q83)</f>
        <v>26.377389999999998</v>
      </c>
      <c r="R95" s="52">
        <f>SUM(R7:R83)</f>
        <v>130.77739</v>
      </c>
    </row>
    <row r="96" spans="1:64" x14ac:dyDescent="0.25">
      <c r="H96" s="42"/>
    </row>
    <row r="97" spans="7:7" x14ac:dyDescent="0.25">
      <c r="G97" s="68"/>
    </row>
  </sheetData>
  <autoFilter ref="C6:K95"/>
  <mergeCells count="10">
    <mergeCell ref="L5:L6"/>
    <mergeCell ref="M5:N5"/>
    <mergeCell ref="O5:O6"/>
    <mergeCell ref="P5:R5"/>
    <mergeCell ref="D2:J2"/>
    <mergeCell ref="A5:A6"/>
    <mergeCell ref="B5:B6"/>
    <mergeCell ref="C5:E5"/>
    <mergeCell ref="F5:H5"/>
    <mergeCell ref="I5:K5"/>
  </mergeCells>
  <pageMargins left="0.15748031496062992" right="0.15748031496062992" top="0.27559055118110237" bottom="0.27559055118110237" header="0.31496062992125984" footer="0.31496062992125984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94"/>
  <sheetViews>
    <sheetView view="pageBreakPreview" zoomScale="80" zoomScaleNormal="90" zoomScaleSheetLayoutView="80" workbookViewId="0">
      <pane xSplit="2" ySplit="5" topLeftCell="C90" activePane="bottomRight" state="frozen"/>
      <selection activeCell="A8" sqref="A8:A75"/>
      <selection pane="topRight" activeCell="A8" sqref="A8:A75"/>
      <selection pane="bottomLeft" activeCell="A8" sqref="A8:A75"/>
      <selection pane="bottomRight" activeCell="H94" sqref="H94"/>
    </sheetView>
  </sheetViews>
  <sheetFormatPr defaultRowHeight="15" x14ac:dyDescent="0.25"/>
  <cols>
    <col min="1" max="1" width="3.140625" style="3" customWidth="1"/>
    <col min="2" max="2" width="41.7109375" style="3" customWidth="1"/>
    <col min="3" max="3" width="12.140625" style="3" bestFit="1" customWidth="1"/>
    <col min="4" max="4" width="14.85546875" style="3" customWidth="1"/>
    <col min="5" max="5" width="16.7109375" style="3" customWidth="1"/>
    <col min="6" max="6" width="13.28515625" style="3" customWidth="1"/>
    <col min="7" max="7" width="16.42578125" style="3" customWidth="1"/>
    <col min="8" max="8" width="15" style="3" customWidth="1"/>
    <col min="9" max="10" width="14.42578125" style="3" customWidth="1"/>
    <col min="11" max="11" width="14.7109375" style="3" customWidth="1"/>
    <col min="12" max="12" width="13.7109375" style="3" customWidth="1"/>
    <col min="13" max="16384" width="9.140625" style="3"/>
  </cols>
  <sheetData>
    <row r="1" spans="1:12" x14ac:dyDescent="0.25">
      <c r="L1" s="4" t="s">
        <v>61</v>
      </c>
    </row>
    <row r="2" spans="1:12" ht="39.75" customHeight="1" x14ac:dyDescent="0.25">
      <c r="D2" s="157" t="s">
        <v>101</v>
      </c>
      <c r="E2" s="157"/>
      <c r="F2" s="157"/>
      <c r="G2" s="157"/>
      <c r="H2" s="157"/>
      <c r="I2" s="157"/>
    </row>
    <row r="3" spans="1:12" ht="6.75" customHeight="1" x14ac:dyDescent="0.25"/>
    <row r="4" spans="1:12" ht="31.5" customHeight="1" x14ac:dyDescent="0.25">
      <c r="A4" s="166" t="s">
        <v>20</v>
      </c>
      <c r="B4" s="166" t="s">
        <v>30</v>
      </c>
      <c r="C4" s="166" t="s">
        <v>62</v>
      </c>
      <c r="D4" s="166"/>
      <c r="E4" s="166"/>
      <c r="F4" s="170" t="s">
        <v>63</v>
      </c>
      <c r="G4" s="170"/>
      <c r="H4" s="170"/>
      <c r="I4" s="170"/>
      <c r="J4" s="170" t="s">
        <v>64</v>
      </c>
      <c r="K4" s="170"/>
      <c r="L4" s="170"/>
    </row>
    <row r="5" spans="1:12" ht="75" x14ac:dyDescent="0.25">
      <c r="A5" s="166"/>
      <c r="B5" s="166"/>
      <c r="C5" s="46" t="s">
        <v>65</v>
      </c>
      <c r="D5" s="46" t="s">
        <v>66</v>
      </c>
      <c r="E5" s="46" t="s">
        <v>67</v>
      </c>
      <c r="F5" s="46" t="s">
        <v>65</v>
      </c>
      <c r="G5" s="46" t="s">
        <v>68</v>
      </c>
      <c r="H5" s="46" t="s">
        <v>69</v>
      </c>
      <c r="I5" s="46" t="s">
        <v>67</v>
      </c>
      <c r="J5" s="46" t="s">
        <v>70</v>
      </c>
      <c r="K5" s="46" t="s">
        <v>67</v>
      </c>
      <c r="L5" s="46" t="s">
        <v>15</v>
      </c>
    </row>
    <row r="6" spans="1:12" ht="25.5" x14ac:dyDescent="0.25">
      <c r="A6" s="46">
        <v>1</v>
      </c>
      <c r="B6" s="76" t="s">
        <v>124</v>
      </c>
      <c r="C6" s="115">
        <f>SUM(D6:E6)</f>
        <v>0</v>
      </c>
      <c r="D6" s="115">
        <v>0</v>
      </c>
      <c r="E6" s="115">
        <v>0</v>
      </c>
      <c r="F6" s="116">
        <v>127.628</v>
      </c>
      <c r="G6" s="80">
        <v>126.352</v>
      </c>
      <c r="H6" s="80">
        <v>0</v>
      </c>
      <c r="I6" s="80">
        <v>1.276</v>
      </c>
      <c r="J6" s="80">
        <v>1630.5961600000001</v>
      </c>
      <c r="K6" s="80">
        <v>0</v>
      </c>
      <c r="L6" s="80">
        <f t="shared" ref="L6:L19" si="0">J6+K6</f>
        <v>1630.5961600000001</v>
      </c>
    </row>
    <row r="7" spans="1:12" ht="25.5" x14ac:dyDescent="0.25">
      <c r="A7" s="46">
        <v>2</v>
      </c>
      <c r="B7" s="76" t="s">
        <v>125</v>
      </c>
      <c r="C7" s="115">
        <f t="shared" ref="C7:C70" si="1">SUM(D7:E7)</f>
        <v>0</v>
      </c>
      <c r="D7" s="115">
        <v>0</v>
      </c>
      <c r="E7" s="115">
        <v>0</v>
      </c>
      <c r="F7" s="116">
        <v>28.6</v>
      </c>
      <c r="G7" s="80">
        <v>28.6</v>
      </c>
      <c r="H7" s="80">
        <v>0</v>
      </c>
      <c r="I7" s="80">
        <v>0</v>
      </c>
      <c r="J7" s="80">
        <v>815.68231000000003</v>
      </c>
      <c r="K7" s="80">
        <v>0</v>
      </c>
      <c r="L7" s="80">
        <f t="shared" si="0"/>
        <v>815.68231000000003</v>
      </c>
    </row>
    <row r="8" spans="1:12" ht="25.5" x14ac:dyDescent="0.25">
      <c r="A8" s="73">
        <v>3</v>
      </c>
      <c r="B8" s="76" t="s">
        <v>126</v>
      </c>
      <c r="C8" s="115">
        <f t="shared" si="1"/>
        <v>0</v>
      </c>
      <c r="D8" s="115">
        <v>0</v>
      </c>
      <c r="E8" s="115">
        <v>0</v>
      </c>
      <c r="F8" s="116">
        <v>109.79400000000001</v>
      </c>
      <c r="G8" s="80">
        <v>22.6</v>
      </c>
      <c r="H8" s="80">
        <v>0</v>
      </c>
      <c r="I8" s="80">
        <v>87.194000000000003</v>
      </c>
      <c r="J8" s="80">
        <v>1137.71245</v>
      </c>
      <c r="K8" s="80">
        <v>0</v>
      </c>
      <c r="L8" s="80">
        <f t="shared" si="0"/>
        <v>1137.71245</v>
      </c>
    </row>
    <row r="9" spans="1:12" ht="25.5" x14ac:dyDescent="0.25">
      <c r="A9" s="73">
        <v>4</v>
      </c>
      <c r="B9" s="76" t="s">
        <v>127</v>
      </c>
      <c r="C9" s="115">
        <f t="shared" si="1"/>
        <v>0</v>
      </c>
      <c r="D9" s="115">
        <v>0</v>
      </c>
      <c r="E9" s="115">
        <v>0</v>
      </c>
      <c r="F9" s="116">
        <v>178.6738</v>
      </c>
      <c r="G9" s="80">
        <v>115.6738</v>
      </c>
      <c r="H9" s="80">
        <v>63</v>
      </c>
      <c r="I9" s="80">
        <v>0</v>
      </c>
      <c r="J9" s="80">
        <v>1931.3</v>
      </c>
      <c r="K9" s="80">
        <v>0</v>
      </c>
      <c r="L9" s="80">
        <f t="shared" si="0"/>
        <v>1931.3</v>
      </c>
    </row>
    <row r="10" spans="1:12" ht="25.5" x14ac:dyDescent="0.25">
      <c r="A10" s="73">
        <v>5</v>
      </c>
      <c r="B10" s="75" t="s">
        <v>128</v>
      </c>
      <c r="C10" s="115">
        <f t="shared" si="1"/>
        <v>0</v>
      </c>
      <c r="D10" s="115">
        <v>0</v>
      </c>
      <c r="E10" s="115">
        <v>0</v>
      </c>
      <c r="F10" s="116">
        <v>0</v>
      </c>
      <c r="G10" s="80">
        <v>0</v>
      </c>
      <c r="H10" s="80">
        <v>0</v>
      </c>
      <c r="I10" s="80">
        <v>0</v>
      </c>
      <c r="J10" s="80">
        <v>826.28484000000003</v>
      </c>
      <c r="K10" s="80">
        <v>0</v>
      </c>
      <c r="L10" s="80">
        <f t="shared" si="0"/>
        <v>826.28484000000003</v>
      </c>
    </row>
    <row r="11" spans="1:12" ht="25.5" x14ac:dyDescent="0.25">
      <c r="A11" s="73">
        <v>6</v>
      </c>
      <c r="B11" s="76" t="s">
        <v>129</v>
      </c>
      <c r="C11" s="115">
        <f t="shared" si="1"/>
        <v>0</v>
      </c>
      <c r="D11" s="115">
        <v>0</v>
      </c>
      <c r="E11" s="115">
        <v>0</v>
      </c>
      <c r="F11" s="116">
        <v>46.902000000000001</v>
      </c>
      <c r="G11" s="80">
        <v>45.1</v>
      </c>
      <c r="H11" s="80">
        <v>0</v>
      </c>
      <c r="I11" s="80">
        <v>1.802</v>
      </c>
      <c r="J11" s="80">
        <v>2017.8</v>
      </c>
      <c r="K11" s="80">
        <v>0</v>
      </c>
      <c r="L11" s="80">
        <f t="shared" si="0"/>
        <v>2017.8</v>
      </c>
    </row>
    <row r="12" spans="1:12" ht="25.5" x14ac:dyDescent="0.25">
      <c r="A12" s="73">
        <v>7</v>
      </c>
      <c r="B12" s="76" t="s">
        <v>130</v>
      </c>
      <c r="C12" s="115">
        <f t="shared" si="1"/>
        <v>0</v>
      </c>
      <c r="D12" s="115">
        <v>0</v>
      </c>
      <c r="E12" s="115">
        <v>0</v>
      </c>
      <c r="F12" s="116">
        <v>101.337</v>
      </c>
      <c r="G12" s="80">
        <v>101.337</v>
      </c>
      <c r="H12" s="80">
        <v>0</v>
      </c>
      <c r="I12" s="80">
        <v>0</v>
      </c>
      <c r="J12" s="80">
        <v>2570.5046299999999</v>
      </c>
      <c r="K12" s="80">
        <v>0</v>
      </c>
      <c r="L12" s="80">
        <f t="shared" si="0"/>
        <v>2570.5046299999999</v>
      </c>
    </row>
    <row r="13" spans="1:12" ht="15.75" x14ac:dyDescent="0.25">
      <c r="A13" s="73">
        <v>8</v>
      </c>
      <c r="B13" s="76" t="s">
        <v>131</v>
      </c>
      <c r="C13" s="115">
        <f t="shared" si="1"/>
        <v>0</v>
      </c>
      <c r="D13" s="115">
        <v>0</v>
      </c>
      <c r="E13" s="115">
        <v>0</v>
      </c>
      <c r="F13" s="116">
        <v>714.21540000000005</v>
      </c>
      <c r="G13" s="80">
        <v>170</v>
      </c>
      <c r="H13" s="80">
        <v>439.96699999999998</v>
      </c>
      <c r="I13" s="80">
        <v>104.2484</v>
      </c>
      <c r="J13" s="80">
        <v>4941.84908</v>
      </c>
      <c r="K13" s="80">
        <v>0</v>
      </c>
      <c r="L13" s="80">
        <f t="shared" si="0"/>
        <v>4941.84908</v>
      </c>
    </row>
    <row r="14" spans="1:12" ht="15.75" x14ac:dyDescent="0.25">
      <c r="A14" s="73">
        <v>9</v>
      </c>
      <c r="B14" s="76" t="s">
        <v>132</v>
      </c>
      <c r="C14" s="115">
        <f t="shared" si="1"/>
        <v>0</v>
      </c>
      <c r="D14" s="115">
        <v>0</v>
      </c>
      <c r="E14" s="115">
        <v>0</v>
      </c>
      <c r="F14" s="116">
        <v>67.5</v>
      </c>
      <c r="G14" s="80">
        <v>67.5</v>
      </c>
      <c r="H14" s="80">
        <v>0</v>
      </c>
      <c r="I14" s="80">
        <v>0</v>
      </c>
      <c r="J14" s="80">
        <v>1873.60373</v>
      </c>
      <c r="K14" s="80">
        <v>0</v>
      </c>
      <c r="L14" s="80">
        <f t="shared" si="0"/>
        <v>1873.60373</v>
      </c>
    </row>
    <row r="15" spans="1:12" ht="15.75" x14ac:dyDescent="0.25">
      <c r="A15" s="73">
        <v>10</v>
      </c>
      <c r="B15" s="76" t="s">
        <v>133</v>
      </c>
      <c r="C15" s="115">
        <f t="shared" si="1"/>
        <v>0</v>
      </c>
      <c r="D15" s="115"/>
      <c r="E15" s="115">
        <v>0</v>
      </c>
      <c r="F15" s="116">
        <v>1666.1547</v>
      </c>
      <c r="G15" s="80">
        <v>146.4693</v>
      </c>
      <c r="H15" s="80">
        <v>1519.6854000000001</v>
      </c>
      <c r="I15" s="80">
        <v>0</v>
      </c>
      <c r="J15" s="80">
        <v>3717.8681000000001</v>
      </c>
      <c r="K15" s="80">
        <v>0</v>
      </c>
      <c r="L15" s="80">
        <f t="shared" si="0"/>
        <v>3717.8681000000001</v>
      </c>
    </row>
    <row r="16" spans="1:12" ht="25.5" x14ac:dyDescent="0.25">
      <c r="A16" s="73">
        <v>11</v>
      </c>
      <c r="B16" s="76" t="s">
        <v>134</v>
      </c>
      <c r="C16" s="115">
        <f t="shared" si="1"/>
        <v>0</v>
      </c>
      <c r="D16" s="115">
        <v>0</v>
      </c>
      <c r="E16" s="115">
        <v>0</v>
      </c>
      <c r="F16" s="116">
        <v>5424.3498300000001</v>
      </c>
      <c r="G16" s="80">
        <v>127.69929999999999</v>
      </c>
      <c r="H16" s="80">
        <v>5296.6505299999999</v>
      </c>
      <c r="I16" s="80">
        <v>0</v>
      </c>
      <c r="J16" s="80">
        <v>1905.7922100000001</v>
      </c>
      <c r="K16" s="80">
        <v>0</v>
      </c>
      <c r="L16" s="80">
        <f t="shared" si="0"/>
        <v>1905.7922100000001</v>
      </c>
    </row>
    <row r="17" spans="1:12" ht="15.75" x14ac:dyDescent="0.25">
      <c r="A17" s="73">
        <v>12</v>
      </c>
      <c r="B17" s="76" t="s">
        <v>135</v>
      </c>
      <c r="C17" s="115">
        <f t="shared" si="1"/>
        <v>0</v>
      </c>
      <c r="D17" s="115">
        <v>0</v>
      </c>
      <c r="E17" s="115">
        <v>0</v>
      </c>
      <c r="F17" s="116">
        <v>508.48136</v>
      </c>
      <c r="G17" s="80">
        <v>198.32101</v>
      </c>
      <c r="H17" s="80">
        <v>259.98</v>
      </c>
      <c r="I17" s="80">
        <v>50.180349999999997</v>
      </c>
      <c r="J17" s="80">
        <v>1802.1893600000001</v>
      </c>
      <c r="K17" s="80">
        <v>0</v>
      </c>
      <c r="L17" s="80">
        <f t="shared" si="0"/>
        <v>1802.1893600000001</v>
      </c>
    </row>
    <row r="18" spans="1:12" ht="15.75" x14ac:dyDescent="0.25">
      <c r="A18" s="73">
        <v>13</v>
      </c>
      <c r="B18" s="76" t="s">
        <v>136</v>
      </c>
      <c r="C18" s="115">
        <f>SUM(D18:E18)</f>
        <v>415.00947000000002</v>
      </c>
      <c r="D18" s="115">
        <v>415.00947000000002</v>
      </c>
      <c r="E18" s="115">
        <v>0</v>
      </c>
      <c r="F18" s="116">
        <v>59.608199999999997</v>
      </c>
      <c r="G18" s="80">
        <v>59.608199999999997</v>
      </c>
      <c r="H18" s="80">
        <v>0</v>
      </c>
      <c r="I18" s="80">
        <v>0</v>
      </c>
      <c r="J18" s="80">
        <v>3014.65</v>
      </c>
      <c r="K18" s="80">
        <v>0</v>
      </c>
      <c r="L18" s="80">
        <f t="shared" si="0"/>
        <v>3014.65</v>
      </c>
    </row>
    <row r="19" spans="1:12" ht="15.75" x14ac:dyDescent="0.25">
      <c r="A19" s="73">
        <v>14</v>
      </c>
      <c r="B19" s="76" t="s">
        <v>137</v>
      </c>
      <c r="C19" s="115">
        <f t="shared" si="1"/>
        <v>0</v>
      </c>
      <c r="D19" s="115">
        <v>0</v>
      </c>
      <c r="E19" s="115">
        <v>0</v>
      </c>
      <c r="F19" s="116">
        <v>741.93470000000002</v>
      </c>
      <c r="G19" s="80">
        <v>133.69069999999999</v>
      </c>
      <c r="H19" s="80">
        <v>608.24400000000003</v>
      </c>
      <c r="I19" s="80">
        <v>0</v>
      </c>
      <c r="J19" s="80">
        <v>2452.89957</v>
      </c>
      <c r="K19" s="80">
        <v>0</v>
      </c>
      <c r="L19" s="80">
        <f t="shared" si="0"/>
        <v>2452.89957</v>
      </c>
    </row>
    <row r="20" spans="1:12" ht="25.5" x14ac:dyDescent="0.25">
      <c r="A20" s="73">
        <v>15</v>
      </c>
      <c r="B20" s="76" t="s">
        <v>138</v>
      </c>
      <c r="C20" s="115">
        <f t="shared" si="1"/>
        <v>0</v>
      </c>
      <c r="D20" s="115">
        <v>0</v>
      </c>
      <c r="E20" s="115">
        <v>0</v>
      </c>
      <c r="F20" s="116">
        <v>1446.2457999999999</v>
      </c>
      <c r="G20" s="80">
        <v>335.52080000000001</v>
      </c>
      <c r="H20" s="80">
        <v>1006.755</v>
      </c>
      <c r="I20" s="80">
        <v>103.97</v>
      </c>
      <c r="J20" s="80">
        <v>7254.5442499999999</v>
      </c>
      <c r="K20" s="80">
        <v>0</v>
      </c>
      <c r="L20" s="80">
        <f t="shared" ref="L20:L51" si="2">J20+K20</f>
        <v>7254.5442499999999</v>
      </c>
    </row>
    <row r="21" spans="1:12" ht="15.75" x14ac:dyDescent="0.25">
      <c r="A21" s="73">
        <v>16</v>
      </c>
      <c r="B21" s="76" t="s">
        <v>139</v>
      </c>
      <c r="C21" s="115">
        <f t="shared" si="1"/>
        <v>0</v>
      </c>
      <c r="D21" s="115">
        <v>0</v>
      </c>
      <c r="E21" s="115">
        <v>0</v>
      </c>
      <c r="F21" s="116">
        <v>128.13499999999999</v>
      </c>
      <c r="G21" s="80">
        <v>106.905</v>
      </c>
      <c r="H21" s="80">
        <v>0</v>
      </c>
      <c r="I21" s="80">
        <v>21.23</v>
      </c>
      <c r="J21" s="80">
        <v>5870.3002800000004</v>
      </c>
      <c r="K21" s="80">
        <v>0</v>
      </c>
      <c r="L21" s="80">
        <f t="shared" si="2"/>
        <v>5870.3002800000004</v>
      </c>
    </row>
    <row r="22" spans="1:12" ht="25.5" x14ac:dyDescent="0.25">
      <c r="A22" s="73">
        <v>17</v>
      </c>
      <c r="B22" s="76" t="s">
        <v>140</v>
      </c>
      <c r="C22" s="115">
        <f t="shared" si="1"/>
        <v>0</v>
      </c>
      <c r="D22" s="115">
        <v>0</v>
      </c>
      <c r="E22" s="115">
        <v>0</v>
      </c>
      <c r="F22" s="116">
        <v>118.5655</v>
      </c>
      <c r="G22" s="80">
        <v>118.5655</v>
      </c>
      <c r="H22" s="80">
        <v>0</v>
      </c>
      <c r="I22" s="80">
        <v>0</v>
      </c>
      <c r="J22" s="80">
        <v>640.94208000000003</v>
      </c>
      <c r="K22" s="80">
        <v>0</v>
      </c>
      <c r="L22" s="80">
        <f t="shared" si="2"/>
        <v>640.94208000000003</v>
      </c>
    </row>
    <row r="23" spans="1:12" ht="25.5" x14ac:dyDescent="0.25">
      <c r="A23" s="73">
        <v>18</v>
      </c>
      <c r="B23" s="76" t="s">
        <v>141</v>
      </c>
      <c r="C23" s="115">
        <f t="shared" si="1"/>
        <v>600</v>
      </c>
      <c r="D23" s="115">
        <v>600</v>
      </c>
      <c r="E23" s="115">
        <v>0</v>
      </c>
      <c r="F23" s="116">
        <v>203.04</v>
      </c>
      <c r="G23" s="80">
        <v>45.6</v>
      </c>
      <c r="H23" s="80">
        <v>97.43</v>
      </c>
      <c r="I23" s="80">
        <v>60.01</v>
      </c>
      <c r="J23" s="80">
        <v>917.91476999999998</v>
      </c>
      <c r="K23" s="80">
        <v>0.42853000000000002</v>
      </c>
      <c r="L23" s="80">
        <f t="shared" si="2"/>
        <v>918.3433</v>
      </c>
    </row>
    <row r="24" spans="1:12" ht="25.5" x14ac:dyDescent="0.25">
      <c r="A24" s="73">
        <v>19</v>
      </c>
      <c r="B24" s="76" t="s">
        <v>142</v>
      </c>
      <c r="C24" s="115">
        <f t="shared" si="1"/>
        <v>0</v>
      </c>
      <c r="D24" s="115">
        <v>0</v>
      </c>
      <c r="E24" s="115">
        <v>0</v>
      </c>
      <c r="F24" s="116">
        <v>9.6026000000000007</v>
      </c>
      <c r="G24" s="80">
        <v>0</v>
      </c>
      <c r="H24" s="80">
        <v>0</v>
      </c>
      <c r="I24" s="80">
        <v>9.6026000000000007</v>
      </c>
      <c r="J24" s="80">
        <v>3840.4656</v>
      </c>
      <c r="K24" s="80">
        <v>0</v>
      </c>
      <c r="L24" s="80">
        <f t="shared" si="2"/>
        <v>3840.4656</v>
      </c>
    </row>
    <row r="25" spans="1:12" ht="25.5" x14ac:dyDescent="0.25">
      <c r="A25" s="73">
        <v>20</v>
      </c>
      <c r="B25" s="76" t="s">
        <v>143</v>
      </c>
      <c r="C25" s="115">
        <f t="shared" si="1"/>
        <v>0</v>
      </c>
      <c r="D25" s="115">
        <v>0</v>
      </c>
      <c r="E25" s="115">
        <v>0</v>
      </c>
      <c r="F25" s="116">
        <v>68.496679999999998</v>
      </c>
      <c r="G25" s="80">
        <v>59.611400000000003</v>
      </c>
      <c r="H25" s="80">
        <v>0</v>
      </c>
      <c r="I25" s="80">
        <v>8.8852799999999998</v>
      </c>
      <c r="J25" s="80">
        <v>1216.76576</v>
      </c>
      <c r="K25" s="80">
        <v>0</v>
      </c>
      <c r="L25" s="80">
        <f t="shared" si="2"/>
        <v>1216.76576</v>
      </c>
    </row>
    <row r="26" spans="1:12" ht="15.75" x14ac:dyDescent="0.25">
      <c r="A26" s="73">
        <v>21</v>
      </c>
      <c r="B26" s="76" t="s">
        <v>144</v>
      </c>
      <c r="C26" s="115">
        <f t="shared" si="1"/>
        <v>605.21405000000004</v>
      </c>
      <c r="D26" s="115">
        <f>302.60702+302.60703</f>
        <v>605.21405000000004</v>
      </c>
      <c r="E26" s="115">
        <v>0</v>
      </c>
      <c r="F26" s="116">
        <v>33.474000000000004</v>
      </c>
      <c r="G26" s="80">
        <v>8.7750000000000004</v>
      </c>
      <c r="H26" s="80">
        <v>0</v>
      </c>
      <c r="I26" s="80">
        <v>24.699000000000002</v>
      </c>
      <c r="J26" s="80">
        <v>576.75395000000003</v>
      </c>
      <c r="K26" s="80">
        <v>0</v>
      </c>
      <c r="L26" s="80">
        <f t="shared" si="2"/>
        <v>576.75395000000003</v>
      </c>
    </row>
    <row r="27" spans="1:12" ht="25.5" x14ac:dyDescent="0.25">
      <c r="A27" s="73">
        <v>22</v>
      </c>
      <c r="B27" s="76" t="s">
        <v>145</v>
      </c>
      <c r="C27" s="115">
        <f t="shared" si="1"/>
        <v>0</v>
      </c>
      <c r="D27" s="115">
        <v>0</v>
      </c>
      <c r="E27" s="115">
        <v>0</v>
      </c>
      <c r="F27" s="116">
        <v>100.79219999999999</v>
      </c>
      <c r="G27" s="80">
        <v>100.79219999999999</v>
      </c>
      <c r="H27" s="80">
        <v>0</v>
      </c>
      <c r="I27" s="80">
        <v>0</v>
      </c>
      <c r="J27" s="80">
        <v>1030.50324</v>
      </c>
      <c r="K27" s="80">
        <v>0</v>
      </c>
      <c r="L27" s="80">
        <f t="shared" si="2"/>
        <v>1030.50324</v>
      </c>
    </row>
    <row r="28" spans="1:12" ht="25.5" x14ac:dyDescent="0.25">
      <c r="A28" s="73">
        <v>23</v>
      </c>
      <c r="B28" s="76" t="s">
        <v>146</v>
      </c>
      <c r="C28" s="115">
        <f t="shared" si="1"/>
        <v>0</v>
      </c>
      <c r="D28" s="115">
        <v>0</v>
      </c>
      <c r="E28" s="115">
        <v>0</v>
      </c>
      <c r="F28" s="116">
        <v>143.80240000000001</v>
      </c>
      <c r="G28" s="80">
        <v>93.802400000000006</v>
      </c>
      <c r="H28" s="80">
        <v>50</v>
      </c>
      <c r="I28" s="80">
        <v>0</v>
      </c>
      <c r="J28" s="80">
        <v>536.78147000000001</v>
      </c>
      <c r="K28" s="80">
        <v>0</v>
      </c>
      <c r="L28" s="80">
        <f t="shared" si="2"/>
        <v>536.78147000000001</v>
      </c>
    </row>
    <row r="29" spans="1:12" ht="15.75" x14ac:dyDescent="0.25">
      <c r="A29" s="73">
        <v>24</v>
      </c>
      <c r="B29" s="76" t="s">
        <v>147</v>
      </c>
      <c r="C29" s="115">
        <f t="shared" si="1"/>
        <v>481.08557999999999</v>
      </c>
      <c r="D29" s="115">
        <v>481.08557999999999</v>
      </c>
      <c r="E29" s="115">
        <v>0</v>
      </c>
      <c r="F29" s="116">
        <v>81.882000000000005</v>
      </c>
      <c r="G29" s="80">
        <v>57.168999999999997</v>
      </c>
      <c r="H29" s="80">
        <v>0</v>
      </c>
      <c r="I29" s="80">
        <v>24.713000000000001</v>
      </c>
      <c r="J29" s="80">
        <v>400.07805999999999</v>
      </c>
      <c r="K29" s="80">
        <v>0</v>
      </c>
      <c r="L29" s="80">
        <f t="shared" si="2"/>
        <v>400.07805999999999</v>
      </c>
    </row>
    <row r="30" spans="1:12" ht="25.5" x14ac:dyDescent="0.25">
      <c r="A30" s="73">
        <v>25</v>
      </c>
      <c r="B30" s="76" t="s">
        <v>148</v>
      </c>
      <c r="C30" s="115">
        <f t="shared" si="1"/>
        <v>0</v>
      </c>
      <c r="D30" s="115">
        <v>0</v>
      </c>
      <c r="E30" s="115">
        <v>0</v>
      </c>
      <c r="F30" s="116">
        <v>553.14207999999996</v>
      </c>
      <c r="G30" s="80">
        <v>0</v>
      </c>
      <c r="H30" s="80">
        <v>503.20808</v>
      </c>
      <c r="I30" s="80">
        <v>49.933999999999997</v>
      </c>
      <c r="J30" s="80">
        <v>1390.3372899999999</v>
      </c>
      <c r="K30" s="80">
        <v>0</v>
      </c>
      <c r="L30" s="80">
        <f t="shared" si="2"/>
        <v>1390.3372899999999</v>
      </c>
    </row>
    <row r="31" spans="1:12" ht="15.75" x14ac:dyDescent="0.25">
      <c r="A31" s="73">
        <v>26</v>
      </c>
      <c r="B31" s="76" t="s">
        <v>149</v>
      </c>
      <c r="C31" s="115">
        <f t="shared" si="1"/>
        <v>0</v>
      </c>
      <c r="D31" s="115">
        <v>0</v>
      </c>
      <c r="E31" s="115">
        <v>0</v>
      </c>
      <c r="F31" s="116">
        <v>0</v>
      </c>
      <c r="G31" s="80">
        <v>0</v>
      </c>
      <c r="H31" s="80">
        <v>0</v>
      </c>
      <c r="I31" s="80">
        <v>0</v>
      </c>
      <c r="J31" s="80">
        <v>702.67800999999997</v>
      </c>
      <c r="K31" s="80">
        <v>0</v>
      </c>
      <c r="L31" s="80">
        <f t="shared" si="2"/>
        <v>702.67800999999997</v>
      </c>
    </row>
    <row r="32" spans="1:12" ht="15.75" x14ac:dyDescent="0.25">
      <c r="A32" s="73">
        <v>27</v>
      </c>
      <c r="B32" s="76" t="s">
        <v>150</v>
      </c>
      <c r="C32" s="115">
        <f t="shared" si="1"/>
        <v>0</v>
      </c>
      <c r="D32" s="115">
        <v>0</v>
      </c>
      <c r="E32" s="115">
        <v>0</v>
      </c>
      <c r="F32" s="116">
        <v>96.3</v>
      </c>
      <c r="G32" s="80">
        <v>96.3</v>
      </c>
      <c r="H32" s="80">
        <v>0</v>
      </c>
      <c r="I32" s="80">
        <v>0</v>
      </c>
      <c r="J32" s="80">
        <v>1631.6</v>
      </c>
      <c r="K32" s="80">
        <v>0</v>
      </c>
      <c r="L32" s="80">
        <f t="shared" si="2"/>
        <v>1631.6</v>
      </c>
    </row>
    <row r="33" spans="1:12" ht="25.5" x14ac:dyDescent="0.25">
      <c r="A33" s="73">
        <v>28</v>
      </c>
      <c r="B33" s="76" t="s">
        <v>151</v>
      </c>
      <c r="C33" s="115">
        <f t="shared" si="1"/>
        <v>0</v>
      </c>
      <c r="D33" s="115">
        <v>0</v>
      </c>
      <c r="E33" s="115">
        <v>0</v>
      </c>
      <c r="F33" s="116">
        <v>62.859900000000003</v>
      </c>
      <c r="G33" s="80">
        <v>62.859900000000003</v>
      </c>
      <c r="H33" s="80">
        <v>0</v>
      </c>
      <c r="I33" s="80">
        <v>0</v>
      </c>
      <c r="J33" s="80">
        <v>871.26549</v>
      </c>
      <c r="K33" s="80">
        <v>0</v>
      </c>
      <c r="L33" s="80">
        <f t="shared" si="2"/>
        <v>871.26549</v>
      </c>
    </row>
    <row r="34" spans="1:12" ht="25.5" x14ac:dyDescent="0.25">
      <c r="A34" s="73">
        <v>29</v>
      </c>
      <c r="B34" s="76" t="s">
        <v>152</v>
      </c>
      <c r="C34" s="115">
        <f t="shared" si="1"/>
        <v>524.49345000000005</v>
      </c>
      <c r="D34" s="117">
        <v>524.49345000000005</v>
      </c>
      <c r="E34" s="115">
        <v>0</v>
      </c>
      <c r="F34" s="116">
        <v>111.62572</v>
      </c>
      <c r="G34" s="80">
        <v>42.8</v>
      </c>
      <c r="H34" s="80">
        <v>0</v>
      </c>
      <c r="I34" s="80">
        <v>68.825720000000004</v>
      </c>
      <c r="J34" s="80">
        <v>2240.68201</v>
      </c>
      <c r="K34" s="80">
        <v>0</v>
      </c>
      <c r="L34" s="80">
        <f t="shared" si="2"/>
        <v>2240.68201</v>
      </c>
    </row>
    <row r="35" spans="1:12" ht="25.5" x14ac:dyDescent="0.25">
      <c r="A35" s="73">
        <v>30</v>
      </c>
      <c r="B35" s="76" t="s">
        <v>153</v>
      </c>
      <c r="C35" s="115">
        <f t="shared" si="1"/>
        <v>0</v>
      </c>
      <c r="D35" s="115">
        <v>0</v>
      </c>
      <c r="E35" s="115">
        <v>0</v>
      </c>
      <c r="F35" s="116">
        <v>23.36</v>
      </c>
      <c r="G35" s="80">
        <v>23.36</v>
      </c>
      <c r="H35" s="80">
        <v>0</v>
      </c>
      <c r="I35" s="80">
        <v>0</v>
      </c>
      <c r="J35" s="80">
        <v>930.91025999999999</v>
      </c>
      <c r="K35" s="80">
        <v>0</v>
      </c>
      <c r="L35" s="80">
        <f t="shared" si="2"/>
        <v>930.91025999999999</v>
      </c>
    </row>
    <row r="36" spans="1:12" ht="25.5" x14ac:dyDescent="0.25">
      <c r="A36" s="73">
        <v>31</v>
      </c>
      <c r="B36" s="76" t="s">
        <v>154</v>
      </c>
      <c r="C36" s="115">
        <f t="shared" si="1"/>
        <v>0</v>
      </c>
      <c r="D36" s="115">
        <v>0</v>
      </c>
      <c r="E36" s="115">
        <v>0</v>
      </c>
      <c r="F36" s="116">
        <v>422.4599</v>
      </c>
      <c r="G36" s="80">
        <v>122.4599</v>
      </c>
      <c r="H36" s="80">
        <v>300</v>
      </c>
      <c r="I36" s="80">
        <v>0</v>
      </c>
      <c r="J36" s="80">
        <v>934.47533999999996</v>
      </c>
      <c r="K36" s="80">
        <v>0</v>
      </c>
      <c r="L36" s="80">
        <f t="shared" si="2"/>
        <v>934.47533999999996</v>
      </c>
    </row>
    <row r="37" spans="1:12" ht="25.5" x14ac:dyDescent="0.25">
      <c r="A37" s="73">
        <v>32</v>
      </c>
      <c r="B37" s="76" t="s">
        <v>155</v>
      </c>
      <c r="C37" s="115">
        <f t="shared" si="1"/>
        <v>0</v>
      </c>
      <c r="D37" s="115">
        <v>0</v>
      </c>
      <c r="E37" s="115">
        <v>0</v>
      </c>
      <c r="F37" s="116">
        <v>59.597000000000001</v>
      </c>
      <c r="G37" s="80">
        <v>0</v>
      </c>
      <c r="H37" s="80">
        <v>0</v>
      </c>
      <c r="I37" s="80">
        <v>59.597000000000001</v>
      </c>
      <c r="J37" s="80">
        <v>829.19214999999997</v>
      </c>
      <c r="K37" s="80">
        <v>0</v>
      </c>
      <c r="L37" s="80">
        <f t="shared" si="2"/>
        <v>829.19214999999997</v>
      </c>
    </row>
    <row r="38" spans="1:12" ht="15.75" x14ac:dyDescent="0.25">
      <c r="A38" s="73">
        <v>33</v>
      </c>
      <c r="B38" s="76" t="s">
        <v>156</v>
      </c>
      <c r="C38" s="115">
        <f t="shared" si="1"/>
        <v>0</v>
      </c>
      <c r="D38" s="115">
        <v>0</v>
      </c>
      <c r="E38" s="115">
        <v>0</v>
      </c>
      <c r="F38" s="116">
        <v>0</v>
      </c>
      <c r="G38" s="80">
        <v>0</v>
      </c>
      <c r="H38" s="80">
        <v>0</v>
      </c>
      <c r="I38" s="80">
        <v>0</v>
      </c>
      <c r="J38" s="80">
        <v>1322.1927499999999</v>
      </c>
      <c r="K38" s="80">
        <v>0</v>
      </c>
      <c r="L38" s="80">
        <f t="shared" si="2"/>
        <v>1322.1927499999999</v>
      </c>
    </row>
    <row r="39" spans="1:12" ht="25.5" x14ac:dyDescent="0.25">
      <c r="A39" s="73">
        <v>34</v>
      </c>
      <c r="B39" s="76" t="s">
        <v>157</v>
      </c>
      <c r="C39" s="115">
        <f t="shared" si="1"/>
        <v>0</v>
      </c>
      <c r="D39" s="115">
        <v>0</v>
      </c>
      <c r="E39" s="115">
        <v>0</v>
      </c>
      <c r="F39" s="116">
        <v>38.156460000000003</v>
      </c>
      <c r="G39" s="80">
        <v>0</v>
      </c>
      <c r="H39" s="80">
        <v>0</v>
      </c>
      <c r="I39" s="80">
        <v>38.156460000000003</v>
      </c>
      <c r="J39" s="80">
        <v>1598.11726</v>
      </c>
      <c r="K39" s="80">
        <v>31.258430000000001</v>
      </c>
      <c r="L39" s="80">
        <f t="shared" si="2"/>
        <v>1629.3756900000001</v>
      </c>
    </row>
    <row r="40" spans="1:12" ht="25.5" x14ac:dyDescent="0.25">
      <c r="A40" s="73">
        <v>35</v>
      </c>
      <c r="B40" s="76" t="s">
        <v>158</v>
      </c>
      <c r="C40" s="115">
        <f t="shared" si="1"/>
        <v>208.279</v>
      </c>
      <c r="D40" s="115">
        <v>208.279</v>
      </c>
      <c r="E40" s="115">
        <v>0</v>
      </c>
      <c r="F40" s="116">
        <v>68.624430000000004</v>
      </c>
      <c r="G40" s="80">
        <v>68.624430000000004</v>
      </c>
      <c r="H40" s="80">
        <v>0</v>
      </c>
      <c r="I40" s="80">
        <v>0</v>
      </c>
      <c r="J40" s="80">
        <v>4332.6999699999997</v>
      </c>
      <c r="K40" s="80">
        <v>0</v>
      </c>
      <c r="L40" s="80">
        <f t="shared" si="2"/>
        <v>4332.6999699999997</v>
      </c>
    </row>
    <row r="41" spans="1:12" ht="25.5" x14ac:dyDescent="0.25">
      <c r="A41" s="73">
        <v>36</v>
      </c>
      <c r="B41" s="76" t="s">
        <v>159</v>
      </c>
      <c r="C41" s="115">
        <f t="shared" si="1"/>
        <v>215</v>
      </c>
      <c r="D41" s="115">
        <v>215</v>
      </c>
      <c r="E41" s="115">
        <v>0</v>
      </c>
      <c r="F41" s="116">
        <v>37.64</v>
      </c>
      <c r="G41" s="80">
        <v>37.64</v>
      </c>
      <c r="H41" s="80">
        <v>0</v>
      </c>
      <c r="I41" s="80">
        <v>0</v>
      </c>
      <c r="J41" s="80">
        <v>3199.2321999999999</v>
      </c>
      <c r="K41" s="80">
        <v>0</v>
      </c>
      <c r="L41" s="80">
        <f t="shared" si="2"/>
        <v>3199.2321999999999</v>
      </c>
    </row>
    <row r="42" spans="1:12" ht="25.5" x14ac:dyDescent="0.25">
      <c r="A42" s="73">
        <v>37</v>
      </c>
      <c r="B42" s="76" t="s">
        <v>160</v>
      </c>
      <c r="C42" s="115">
        <f t="shared" si="1"/>
        <v>2239.6929999999998</v>
      </c>
      <c r="D42" s="115">
        <f>427.4+871.89416+940.39884</f>
        <v>2239.6929999999998</v>
      </c>
      <c r="E42" s="115">
        <v>0</v>
      </c>
      <c r="F42" s="116">
        <v>909.01496999999995</v>
      </c>
      <c r="G42" s="80">
        <v>365.29797000000002</v>
      </c>
      <c r="H42" s="80">
        <v>543.71699999999998</v>
      </c>
      <c r="I42" s="80">
        <v>0</v>
      </c>
      <c r="J42" s="80">
        <v>2494</v>
      </c>
      <c r="K42" s="80">
        <v>0</v>
      </c>
      <c r="L42" s="80">
        <f t="shared" si="2"/>
        <v>2494</v>
      </c>
    </row>
    <row r="43" spans="1:12" ht="15.75" x14ac:dyDescent="0.25">
      <c r="A43" s="73">
        <v>38</v>
      </c>
      <c r="B43" s="76" t="s">
        <v>161</v>
      </c>
      <c r="C43" s="115">
        <f t="shared" si="1"/>
        <v>0</v>
      </c>
      <c r="D43" s="115">
        <v>0</v>
      </c>
      <c r="E43" s="115">
        <v>0</v>
      </c>
      <c r="F43" s="116">
        <v>99.09</v>
      </c>
      <c r="G43" s="80">
        <v>99.09</v>
      </c>
      <c r="H43" s="80">
        <v>0</v>
      </c>
      <c r="I43" s="80">
        <v>0</v>
      </c>
      <c r="J43" s="80">
        <v>602.47622000000001</v>
      </c>
      <c r="K43" s="80">
        <v>0</v>
      </c>
      <c r="L43" s="80">
        <f t="shared" si="2"/>
        <v>602.47622000000001</v>
      </c>
    </row>
    <row r="44" spans="1:12" ht="15.75" x14ac:dyDescent="0.25">
      <c r="A44" s="73">
        <v>39</v>
      </c>
      <c r="B44" s="76" t="s">
        <v>162</v>
      </c>
      <c r="C44" s="115">
        <f t="shared" si="1"/>
        <v>215</v>
      </c>
      <c r="D44" s="115">
        <v>215</v>
      </c>
      <c r="E44" s="115">
        <v>0</v>
      </c>
      <c r="F44" s="116">
        <v>480.6</v>
      </c>
      <c r="G44" s="80">
        <v>240.3</v>
      </c>
      <c r="H44" s="80">
        <v>240.3</v>
      </c>
      <c r="I44" s="80">
        <v>0</v>
      </c>
      <c r="J44" s="80">
        <v>7157.9383699999998</v>
      </c>
      <c r="K44" s="80">
        <v>0</v>
      </c>
      <c r="L44" s="80">
        <f t="shared" si="2"/>
        <v>7157.9383699999998</v>
      </c>
    </row>
    <row r="45" spans="1:12" ht="15.75" x14ac:dyDescent="0.25">
      <c r="A45" s="73">
        <v>40</v>
      </c>
      <c r="B45" s="76" t="s">
        <v>163</v>
      </c>
      <c r="C45" s="115">
        <f t="shared" si="1"/>
        <v>0</v>
      </c>
      <c r="D45" s="115"/>
      <c r="E45" s="115">
        <v>0</v>
      </c>
      <c r="F45" s="116">
        <v>660.28660000000002</v>
      </c>
      <c r="G45" s="80">
        <v>270.45600000000002</v>
      </c>
      <c r="H45" s="80">
        <v>389.8306</v>
      </c>
      <c r="I45" s="80">
        <v>0</v>
      </c>
      <c r="J45" s="80">
        <v>2805.8871300000001</v>
      </c>
      <c r="K45" s="80">
        <v>0</v>
      </c>
      <c r="L45" s="80">
        <f t="shared" si="2"/>
        <v>2805.8871300000001</v>
      </c>
    </row>
    <row r="46" spans="1:12" ht="15.75" x14ac:dyDescent="0.25">
      <c r="A46" s="73">
        <v>41</v>
      </c>
      <c r="B46" s="76" t="s">
        <v>164</v>
      </c>
      <c r="C46" s="115">
        <f t="shared" si="1"/>
        <v>0</v>
      </c>
      <c r="D46" s="115">
        <v>0</v>
      </c>
      <c r="E46" s="115">
        <v>0</v>
      </c>
      <c r="F46" s="116">
        <v>1757.2892200000001</v>
      </c>
      <c r="G46" s="80">
        <v>124.35074</v>
      </c>
      <c r="H46" s="80">
        <v>1632.93848</v>
      </c>
      <c r="I46" s="80">
        <v>0</v>
      </c>
      <c r="J46" s="80">
        <v>1459.0992100000001</v>
      </c>
      <c r="K46" s="80">
        <v>0</v>
      </c>
      <c r="L46" s="80">
        <f t="shared" si="2"/>
        <v>1459.0992100000001</v>
      </c>
    </row>
    <row r="47" spans="1:12" ht="15.75" x14ac:dyDescent="0.25">
      <c r="A47" s="73">
        <v>42</v>
      </c>
      <c r="B47" s="76" t="s">
        <v>165</v>
      </c>
      <c r="C47" s="115">
        <f t="shared" si="1"/>
        <v>0</v>
      </c>
      <c r="D47" s="115">
        <v>0</v>
      </c>
      <c r="E47" s="115">
        <v>0</v>
      </c>
      <c r="F47" s="116">
        <v>146.2346</v>
      </c>
      <c r="G47" s="80">
        <v>71.117599999999996</v>
      </c>
      <c r="H47" s="80">
        <v>75.117000000000004</v>
      </c>
      <c r="I47" s="80">
        <v>0</v>
      </c>
      <c r="J47" s="80">
        <v>4294.0158099999999</v>
      </c>
      <c r="K47" s="80">
        <v>0</v>
      </c>
      <c r="L47" s="80">
        <f t="shared" si="2"/>
        <v>4294.0158099999999</v>
      </c>
    </row>
    <row r="48" spans="1:12" ht="15.75" x14ac:dyDescent="0.25">
      <c r="A48" s="73">
        <v>43</v>
      </c>
      <c r="B48" s="76" t="s">
        <v>166</v>
      </c>
      <c r="C48" s="115">
        <f t="shared" si="1"/>
        <v>215</v>
      </c>
      <c r="D48" s="115">
        <v>215</v>
      </c>
      <c r="E48" s="115">
        <v>0</v>
      </c>
      <c r="F48" s="116">
        <v>353.06</v>
      </c>
      <c r="G48" s="80">
        <v>65</v>
      </c>
      <c r="H48" s="80">
        <v>280</v>
      </c>
      <c r="I48" s="80">
        <v>8.06</v>
      </c>
      <c r="J48" s="80">
        <v>7866.1109900000001</v>
      </c>
      <c r="K48" s="80">
        <v>0</v>
      </c>
      <c r="L48" s="80">
        <f t="shared" si="2"/>
        <v>7866.1109900000001</v>
      </c>
    </row>
    <row r="49" spans="1:12" ht="15.75" x14ac:dyDescent="0.25">
      <c r="A49" s="73">
        <v>44</v>
      </c>
      <c r="B49" s="76" t="s">
        <v>167</v>
      </c>
      <c r="C49" s="115">
        <f t="shared" si="1"/>
        <v>818.24521000000004</v>
      </c>
      <c r="D49" s="115">
        <f>409.1226+409.12261</f>
        <v>818.24521000000004</v>
      </c>
      <c r="E49" s="115">
        <v>0</v>
      </c>
      <c r="F49" s="116">
        <v>211.83282</v>
      </c>
      <c r="G49" s="80">
        <v>41.832819999999998</v>
      </c>
      <c r="H49" s="80">
        <v>170</v>
      </c>
      <c r="I49" s="80">
        <v>0</v>
      </c>
      <c r="J49" s="80">
        <v>1966.5900200000001</v>
      </c>
      <c r="K49" s="80">
        <v>0</v>
      </c>
      <c r="L49" s="80">
        <f t="shared" si="2"/>
        <v>1966.5900200000001</v>
      </c>
    </row>
    <row r="50" spans="1:12" ht="15.75" x14ac:dyDescent="0.25">
      <c r="A50" s="73">
        <v>45</v>
      </c>
      <c r="B50" s="76" t="s">
        <v>168</v>
      </c>
      <c r="C50" s="115">
        <f t="shared" si="1"/>
        <v>0</v>
      </c>
      <c r="D50" s="115">
        <v>0</v>
      </c>
      <c r="E50" s="115">
        <v>0</v>
      </c>
      <c r="F50" s="116">
        <v>548.36199999999997</v>
      </c>
      <c r="G50" s="80">
        <v>0</v>
      </c>
      <c r="H50" s="80">
        <v>548.36199999999997</v>
      </c>
      <c r="I50" s="80">
        <v>0</v>
      </c>
      <c r="J50" s="80">
        <v>2133.1999999999998</v>
      </c>
      <c r="K50" s="80">
        <v>0</v>
      </c>
      <c r="L50" s="80">
        <f t="shared" si="2"/>
        <v>2133.1999999999998</v>
      </c>
    </row>
    <row r="51" spans="1:12" ht="15.75" x14ac:dyDescent="0.25">
      <c r="A51" s="73">
        <v>46</v>
      </c>
      <c r="B51" s="76" t="s">
        <v>169</v>
      </c>
      <c r="C51" s="115">
        <f t="shared" si="1"/>
        <v>5875.3313900000003</v>
      </c>
      <c r="D51" s="115">
        <v>5875.3313900000003</v>
      </c>
      <c r="E51" s="115">
        <v>0</v>
      </c>
      <c r="F51" s="116">
        <v>7.5</v>
      </c>
      <c r="G51" s="80">
        <v>7.5</v>
      </c>
      <c r="H51" s="80">
        <v>0</v>
      </c>
      <c r="I51" s="80">
        <v>0</v>
      </c>
      <c r="J51" s="80">
        <v>1659.54501</v>
      </c>
      <c r="K51" s="80">
        <v>0</v>
      </c>
      <c r="L51" s="80">
        <f t="shared" si="2"/>
        <v>1659.54501</v>
      </c>
    </row>
    <row r="52" spans="1:12" ht="25.5" x14ac:dyDescent="0.25">
      <c r="A52" s="73">
        <v>47</v>
      </c>
      <c r="B52" s="76" t="s">
        <v>170</v>
      </c>
      <c r="C52" s="115">
        <f t="shared" si="1"/>
        <v>300</v>
      </c>
      <c r="D52" s="115">
        <v>300</v>
      </c>
      <c r="E52" s="115">
        <v>0</v>
      </c>
      <c r="F52" s="116">
        <v>650</v>
      </c>
      <c r="G52" s="80">
        <v>150</v>
      </c>
      <c r="H52" s="80">
        <v>500</v>
      </c>
      <c r="I52" s="80">
        <v>0</v>
      </c>
      <c r="J52" s="80">
        <v>2107.1942199999999</v>
      </c>
      <c r="K52" s="80">
        <v>0</v>
      </c>
      <c r="L52" s="80">
        <f t="shared" ref="L52:L75" si="3">J52+K52</f>
        <v>2107.1942199999999</v>
      </c>
    </row>
    <row r="53" spans="1:12" ht="25.5" x14ac:dyDescent="0.25">
      <c r="A53" s="73">
        <v>48</v>
      </c>
      <c r="B53" s="76" t="s">
        <v>171</v>
      </c>
      <c r="C53" s="115">
        <f t="shared" si="1"/>
        <v>0</v>
      </c>
      <c r="D53" s="115">
        <v>0</v>
      </c>
      <c r="E53" s="115">
        <v>0</v>
      </c>
      <c r="F53" s="116">
        <v>15.9</v>
      </c>
      <c r="G53" s="80">
        <v>0</v>
      </c>
      <c r="H53" s="80">
        <v>0</v>
      </c>
      <c r="I53" s="80">
        <v>15.9</v>
      </c>
      <c r="J53" s="80">
        <v>4557.9392900000003</v>
      </c>
      <c r="K53" s="80">
        <v>0</v>
      </c>
      <c r="L53" s="80">
        <f t="shared" si="3"/>
        <v>4557.9392900000003</v>
      </c>
    </row>
    <row r="54" spans="1:12" ht="15.75" x14ac:dyDescent="0.25">
      <c r="A54" s="73">
        <v>49</v>
      </c>
      <c r="B54" s="76" t="s">
        <v>172</v>
      </c>
      <c r="C54" s="115">
        <f t="shared" si="1"/>
        <v>0</v>
      </c>
      <c r="D54" s="115">
        <v>0</v>
      </c>
      <c r="E54" s="115">
        <v>0</v>
      </c>
      <c r="F54" s="116">
        <v>465.9144</v>
      </c>
      <c r="G54" s="80">
        <v>92.23</v>
      </c>
      <c r="H54" s="80">
        <v>373.68439999999998</v>
      </c>
      <c r="I54" s="80">
        <v>0</v>
      </c>
      <c r="J54" s="80">
        <v>2348.1987199999999</v>
      </c>
      <c r="K54" s="80">
        <v>0</v>
      </c>
      <c r="L54" s="80">
        <f t="shared" si="3"/>
        <v>2348.1987199999999</v>
      </c>
    </row>
    <row r="55" spans="1:12" ht="15.75" x14ac:dyDescent="0.25">
      <c r="A55" s="73">
        <v>50</v>
      </c>
      <c r="B55" s="76" t="s">
        <v>173</v>
      </c>
      <c r="C55" s="115">
        <f t="shared" si="1"/>
        <v>0</v>
      </c>
      <c r="D55" s="115">
        <v>0</v>
      </c>
      <c r="E55" s="115">
        <v>0</v>
      </c>
      <c r="F55" s="116">
        <v>1159.296</v>
      </c>
      <c r="G55" s="80">
        <v>56</v>
      </c>
      <c r="H55" s="80">
        <v>1103.296</v>
      </c>
      <c r="I55" s="80">
        <v>0</v>
      </c>
      <c r="J55" s="80">
        <v>1549.5480600000001</v>
      </c>
      <c r="K55" s="80">
        <v>0</v>
      </c>
      <c r="L55" s="80">
        <f t="shared" si="3"/>
        <v>1549.5480600000001</v>
      </c>
    </row>
    <row r="56" spans="1:12" ht="25.5" x14ac:dyDescent="0.25">
      <c r="A56" s="73">
        <v>51</v>
      </c>
      <c r="B56" s="76" t="s">
        <v>174</v>
      </c>
      <c r="C56" s="115">
        <f t="shared" si="1"/>
        <v>0</v>
      </c>
      <c r="D56" s="115">
        <v>0</v>
      </c>
      <c r="E56" s="115">
        <v>0</v>
      </c>
      <c r="F56" s="116">
        <v>30</v>
      </c>
      <c r="G56" s="80">
        <v>30</v>
      </c>
      <c r="H56" s="80">
        <v>0</v>
      </c>
      <c r="I56" s="80">
        <v>0</v>
      </c>
      <c r="J56" s="80">
        <v>1415.99467</v>
      </c>
      <c r="K56" s="80">
        <v>0</v>
      </c>
      <c r="L56" s="80">
        <f t="shared" si="3"/>
        <v>1415.99467</v>
      </c>
    </row>
    <row r="57" spans="1:12" ht="25.5" x14ac:dyDescent="0.25">
      <c r="A57" s="73">
        <v>52</v>
      </c>
      <c r="B57" s="76" t="s">
        <v>175</v>
      </c>
      <c r="C57" s="115">
        <f t="shared" si="1"/>
        <v>0</v>
      </c>
      <c r="D57" s="115">
        <v>0</v>
      </c>
      <c r="E57" s="115">
        <v>0</v>
      </c>
      <c r="F57" s="116">
        <v>80.355800000000002</v>
      </c>
      <c r="G57" s="80">
        <v>80.355800000000002</v>
      </c>
      <c r="H57" s="80">
        <v>0</v>
      </c>
      <c r="I57" s="80">
        <v>0</v>
      </c>
      <c r="J57" s="80">
        <v>3898.88931</v>
      </c>
      <c r="K57" s="80">
        <v>0</v>
      </c>
      <c r="L57" s="80">
        <f t="shared" si="3"/>
        <v>3898.88931</v>
      </c>
    </row>
    <row r="58" spans="1:12" ht="15.75" x14ac:dyDescent="0.25">
      <c r="A58" s="73">
        <v>53</v>
      </c>
      <c r="B58" s="76" t="s">
        <v>176</v>
      </c>
      <c r="C58" s="115">
        <f t="shared" si="1"/>
        <v>725.87273000000005</v>
      </c>
      <c r="D58" s="118">
        <f>362.93636+362.93637</f>
        <v>725.87273000000005</v>
      </c>
      <c r="E58" s="115">
        <v>0</v>
      </c>
      <c r="F58" s="116">
        <v>422.28800000000001</v>
      </c>
      <c r="G58" s="80">
        <v>170</v>
      </c>
      <c r="H58" s="80">
        <v>252.28800000000001</v>
      </c>
      <c r="I58" s="80">
        <v>0</v>
      </c>
      <c r="J58" s="80">
        <v>1656.4</v>
      </c>
      <c r="K58" s="80">
        <v>0</v>
      </c>
      <c r="L58" s="80">
        <f t="shared" si="3"/>
        <v>1656.4</v>
      </c>
    </row>
    <row r="59" spans="1:12" ht="15.75" x14ac:dyDescent="0.25">
      <c r="A59" s="73">
        <v>54</v>
      </c>
      <c r="B59" s="76" t="s">
        <v>177</v>
      </c>
      <c r="C59" s="115">
        <f t="shared" si="1"/>
        <v>215</v>
      </c>
      <c r="D59" s="115">
        <v>215</v>
      </c>
      <c r="E59" s="115">
        <v>0</v>
      </c>
      <c r="F59" s="116">
        <v>481</v>
      </c>
      <c r="G59" s="80">
        <v>31</v>
      </c>
      <c r="H59" s="80">
        <v>450</v>
      </c>
      <c r="I59" s="80">
        <v>0</v>
      </c>
      <c r="J59" s="80">
        <v>2794.9956999999999</v>
      </c>
      <c r="K59" s="80">
        <v>0</v>
      </c>
      <c r="L59" s="80">
        <f t="shared" si="3"/>
        <v>2794.9956999999999</v>
      </c>
    </row>
    <row r="60" spans="1:12" ht="15.75" x14ac:dyDescent="0.25">
      <c r="A60" s="73">
        <v>55</v>
      </c>
      <c r="B60" s="76" t="s">
        <v>178</v>
      </c>
      <c r="C60" s="115">
        <f t="shared" si="1"/>
        <v>518.90118000000007</v>
      </c>
      <c r="D60" s="118">
        <f>259.45058 +259.4506</f>
        <v>518.90118000000007</v>
      </c>
      <c r="E60" s="115">
        <v>0</v>
      </c>
      <c r="F60" s="116">
        <v>177</v>
      </c>
      <c r="G60" s="80">
        <v>67</v>
      </c>
      <c r="H60" s="80">
        <v>0</v>
      </c>
      <c r="I60" s="80">
        <v>110</v>
      </c>
      <c r="J60" s="80">
        <v>2965.9</v>
      </c>
      <c r="K60" s="80">
        <v>0</v>
      </c>
      <c r="L60" s="80">
        <f t="shared" si="3"/>
        <v>2965.9</v>
      </c>
    </row>
    <row r="61" spans="1:12" ht="15.75" x14ac:dyDescent="0.25">
      <c r="A61" s="73">
        <v>56</v>
      </c>
      <c r="B61" s="76" t="s">
        <v>179</v>
      </c>
      <c r="C61" s="115">
        <f t="shared" si="1"/>
        <v>160.80289999999999</v>
      </c>
      <c r="D61" s="115">
        <f>80.40145+80.40145</f>
        <v>160.80289999999999</v>
      </c>
      <c r="E61" s="115">
        <v>0</v>
      </c>
      <c r="F61" s="116">
        <v>124.17400000000001</v>
      </c>
      <c r="G61" s="80">
        <v>124.17400000000001</v>
      </c>
      <c r="H61" s="80">
        <v>0</v>
      </c>
      <c r="I61" s="80">
        <v>0</v>
      </c>
      <c r="J61" s="80">
        <v>1149.5999999999999</v>
      </c>
      <c r="K61" s="80">
        <v>0</v>
      </c>
      <c r="L61" s="80">
        <f t="shared" si="3"/>
        <v>1149.5999999999999</v>
      </c>
    </row>
    <row r="62" spans="1:12" ht="15.75" x14ac:dyDescent="0.25">
      <c r="A62" s="73">
        <v>57</v>
      </c>
      <c r="B62" s="76" t="s">
        <v>180</v>
      </c>
      <c r="C62" s="115">
        <f t="shared" si="1"/>
        <v>0</v>
      </c>
      <c r="D62" s="115">
        <v>0</v>
      </c>
      <c r="E62" s="115">
        <v>0</v>
      </c>
      <c r="F62" s="116">
        <v>2946.47199</v>
      </c>
      <c r="G62" s="80">
        <v>400</v>
      </c>
      <c r="H62" s="80">
        <v>2425.7031299999999</v>
      </c>
      <c r="I62" s="80">
        <v>120.76886</v>
      </c>
      <c r="J62" s="80">
        <v>1913.9910199999999</v>
      </c>
      <c r="K62" s="80">
        <v>0</v>
      </c>
      <c r="L62" s="80">
        <f t="shared" si="3"/>
        <v>1913.9910199999999</v>
      </c>
    </row>
    <row r="63" spans="1:12" ht="15.75" x14ac:dyDescent="0.25">
      <c r="A63" s="73">
        <v>58</v>
      </c>
      <c r="B63" s="76" t="s">
        <v>181</v>
      </c>
      <c r="C63" s="115">
        <f t="shared" si="1"/>
        <v>0</v>
      </c>
      <c r="D63" s="115">
        <v>0</v>
      </c>
      <c r="E63" s="115">
        <v>0</v>
      </c>
      <c r="F63" s="116">
        <v>593.29200000000003</v>
      </c>
      <c r="G63" s="80">
        <v>82</v>
      </c>
      <c r="H63" s="80">
        <v>500</v>
      </c>
      <c r="I63" s="80">
        <v>11.292</v>
      </c>
      <c r="J63" s="80">
        <v>3669.9771799999999</v>
      </c>
      <c r="K63" s="80">
        <v>0</v>
      </c>
      <c r="L63" s="80">
        <f t="shared" si="3"/>
        <v>3669.9771799999999</v>
      </c>
    </row>
    <row r="64" spans="1:12" ht="15.75" x14ac:dyDescent="0.25">
      <c r="A64" s="73">
        <v>59</v>
      </c>
      <c r="B64" s="76" t="s">
        <v>182</v>
      </c>
      <c r="C64" s="115">
        <f t="shared" si="1"/>
        <v>1451.9684400000001</v>
      </c>
      <c r="D64" s="115">
        <f>725.9842+725.98424</f>
        <v>1451.9684400000001</v>
      </c>
      <c r="E64" s="115">
        <v>0</v>
      </c>
      <c r="F64" s="116">
        <v>1006.0928</v>
      </c>
      <c r="G64" s="80">
        <v>0</v>
      </c>
      <c r="H64" s="80">
        <v>1006.0928</v>
      </c>
      <c r="I64" s="80">
        <v>0</v>
      </c>
      <c r="J64" s="80">
        <v>2596.37698</v>
      </c>
      <c r="K64" s="80">
        <v>0</v>
      </c>
      <c r="L64" s="80">
        <f t="shared" si="3"/>
        <v>2596.37698</v>
      </c>
    </row>
    <row r="65" spans="1:12" ht="15.75" x14ac:dyDescent="0.25">
      <c r="A65" s="73">
        <v>60</v>
      </c>
      <c r="B65" s="76" t="s">
        <v>183</v>
      </c>
      <c r="C65" s="115">
        <f t="shared" si="1"/>
        <v>210</v>
      </c>
      <c r="D65" s="115">
        <v>210</v>
      </c>
      <c r="E65" s="115">
        <v>0</v>
      </c>
      <c r="F65" s="116">
        <v>547.50099999999998</v>
      </c>
      <c r="G65" s="80">
        <v>0</v>
      </c>
      <c r="H65" s="80">
        <v>547.50099999999998</v>
      </c>
      <c r="I65" s="80">
        <v>0</v>
      </c>
      <c r="J65" s="80">
        <v>2703.1277700000001</v>
      </c>
      <c r="K65" s="80">
        <v>0</v>
      </c>
      <c r="L65" s="80">
        <f t="shared" si="3"/>
        <v>2703.1277700000001</v>
      </c>
    </row>
    <row r="66" spans="1:12" ht="15.75" x14ac:dyDescent="0.25">
      <c r="A66" s="73">
        <v>61</v>
      </c>
      <c r="B66" s="76" t="s">
        <v>184</v>
      </c>
      <c r="C66" s="115">
        <f t="shared" si="1"/>
        <v>436.04590000000002</v>
      </c>
      <c r="D66" s="115">
        <v>436.04590000000002</v>
      </c>
      <c r="E66" s="115">
        <v>0</v>
      </c>
      <c r="F66" s="116">
        <v>0</v>
      </c>
      <c r="G66" s="80">
        <v>0</v>
      </c>
      <c r="H66" s="80">
        <v>0</v>
      </c>
      <c r="I66" s="80">
        <v>0</v>
      </c>
      <c r="J66" s="80">
        <v>2556.37347</v>
      </c>
      <c r="K66" s="80">
        <v>0</v>
      </c>
      <c r="L66" s="80">
        <f t="shared" si="3"/>
        <v>2556.37347</v>
      </c>
    </row>
    <row r="67" spans="1:12" ht="15.75" x14ac:dyDescent="0.25">
      <c r="A67" s="73">
        <v>62</v>
      </c>
      <c r="B67" s="76" t="s">
        <v>185</v>
      </c>
      <c r="C67" s="115">
        <f t="shared" si="1"/>
        <v>0</v>
      </c>
      <c r="D67" s="115">
        <v>0</v>
      </c>
      <c r="E67" s="115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f t="shared" si="3"/>
        <v>0</v>
      </c>
    </row>
    <row r="68" spans="1:12" ht="15.75" x14ac:dyDescent="0.25">
      <c r="A68" s="73">
        <v>63</v>
      </c>
      <c r="B68" s="76" t="s">
        <v>186</v>
      </c>
      <c r="C68" s="115">
        <f t="shared" si="1"/>
        <v>0</v>
      </c>
      <c r="D68" s="115">
        <v>0</v>
      </c>
      <c r="E68" s="115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f t="shared" si="3"/>
        <v>0</v>
      </c>
    </row>
    <row r="69" spans="1:12" ht="15.75" x14ac:dyDescent="0.25">
      <c r="A69" s="73">
        <v>64</v>
      </c>
      <c r="B69" s="76" t="s">
        <v>187</v>
      </c>
      <c r="C69" s="115">
        <f t="shared" si="1"/>
        <v>0</v>
      </c>
      <c r="D69" s="115">
        <v>0</v>
      </c>
      <c r="E69" s="115">
        <v>0</v>
      </c>
      <c r="F69" s="116">
        <v>9</v>
      </c>
      <c r="G69" s="80">
        <v>9</v>
      </c>
      <c r="H69" s="80">
        <v>0</v>
      </c>
      <c r="I69" s="80">
        <v>0</v>
      </c>
      <c r="J69" s="80">
        <v>115.03384</v>
      </c>
      <c r="K69" s="80">
        <v>0</v>
      </c>
      <c r="L69" s="80">
        <f t="shared" si="3"/>
        <v>115.03384</v>
      </c>
    </row>
    <row r="70" spans="1:12" ht="15.75" x14ac:dyDescent="0.25">
      <c r="A70" s="73">
        <v>65</v>
      </c>
      <c r="B70" s="76" t="s">
        <v>188</v>
      </c>
      <c r="C70" s="115">
        <f t="shared" si="1"/>
        <v>0</v>
      </c>
      <c r="D70" s="115">
        <v>0</v>
      </c>
      <c r="E70" s="115">
        <v>0</v>
      </c>
      <c r="F70" s="116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f t="shared" si="3"/>
        <v>0</v>
      </c>
    </row>
    <row r="71" spans="1:12" ht="25.5" x14ac:dyDescent="0.25">
      <c r="A71" s="73">
        <v>66</v>
      </c>
      <c r="B71" s="76" t="s">
        <v>189</v>
      </c>
      <c r="C71" s="115">
        <v>0</v>
      </c>
      <c r="D71" s="115">
        <v>0</v>
      </c>
      <c r="E71" s="115">
        <v>0</v>
      </c>
      <c r="F71" s="116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f t="shared" si="3"/>
        <v>0</v>
      </c>
    </row>
    <row r="72" spans="1:12" ht="25.5" x14ac:dyDescent="0.25">
      <c r="A72" s="73">
        <v>67</v>
      </c>
      <c r="B72" s="76" t="s">
        <v>190</v>
      </c>
      <c r="C72" s="115">
        <f t="shared" ref="C72:C75" si="4">SUM(D72:E72)</f>
        <v>1086.40362</v>
      </c>
      <c r="D72" s="115">
        <v>1086.40362</v>
      </c>
      <c r="E72" s="115">
        <v>0</v>
      </c>
      <c r="F72" s="116">
        <v>591.74589000000003</v>
      </c>
      <c r="G72" s="80">
        <v>0</v>
      </c>
      <c r="H72" s="80">
        <v>591.74589000000003</v>
      </c>
      <c r="I72" s="80">
        <v>0</v>
      </c>
      <c r="J72" s="80">
        <v>0</v>
      </c>
      <c r="K72" s="80">
        <v>0</v>
      </c>
      <c r="L72" s="80">
        <f t="shared" si="3"/>
        <v>0</v>
      </c>
    </row>
    <row r="73" spans="1:12" ht="25.5" x14ac:dyDescent="0.25">
      <c r="A73" s="73">
        <v>68</v>
      </c>
      <c r="B73" s="76" t="s">
        <v>191</v>
      </c>
      <c r="C73" s="115">
        <f t="shared" si="4"/>
        <v>0</v>
      </c>
      <c r="D73" s="115">
        <v>0</v>
      </c>
      <c r="E73" s="115">
        <v>0</v>
      </c>
      <c r="F73" s="116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f t="shared" si="3"/>
        <v>0</v>
      </c>
    </row>
    <row r="74" spans="1:12" ht="15.75" x14ac:dyDescent="0.25">
      <c r="A74" s="73">
        <v>69</v>
      </c>
      <c r="B74" s="76" t="s">
        <v>192</v>
      </c>
      <c r="C74" s="115">
        <f t="shared" si="4"/>
        <v>0</v>
      </c>
      <c r="D74" s="115">
        <v>0</v>
      </c>
      <c r="E74" s="115">
        <v>0</v>
      </c>
      <c r="F74" s="80">
        <v>10</v>
      </c>
      <c r="G74" s="80">
        <v>10</v>
      </c>
      <c r="H74" s="80">
        <v>0</v>
      </c>
      <c r="I74" s="80">
        <v>0</v>
      </c>
      <c r="J74" s="80">
        <v>0</v>
      </c>
      <c r="K74" s="80">
        <v>0</v>
      </c>
      <c r="L74" s="80">
        <f t="shared" si="3"/>
        <v>0</v>
      </c>
    </row>
    <row r="75" spans="1:12" ht="15.75" x14ac:dyDescent="0.25">
      <c r="A75" s="73">
        <v>70</v>
      </c>
      <c r="B75" s="76" t="s">
        <v>193</v>
      </c>
      <c r="C75" s="115">
        <f t="shared" si="4"/>
        <v>0</v>
      </c>
      <c r="D75" s="115">
        <v>0</v>
      </c>
      <c r="E75" s="115">
        <v>0</v>
      </c>
      <c r="F75" s="80">
        <v>0</v>
      </c>
      <c r="G75" s="80">
        <v>0</v>
      </c>
      <c r="H75" s="80">
        <v>0</v>
      </c>
      <c r="I75" s="80">
        <v>0</v>
      </c>
      <c r="J75" s="80">
        <v>399.24157000000002</v>
      </c>
      <c r="K75" s="80">
        <v>0</v>
      </c>
      <c r="L75" s="80">
        <f t="shared" si="3"/>
        <v>399.24157000000002</v>
      </c>
    </row>
    <row r="76" spans="1:12" ht="60" x14ac:dyDescent="0.25">
      <c r="A76" s="73">
        <v>71</v>
      </c>
      <c r="B76" s="61" t="s">
        <v>79</v>
      </c>
      <c r="C76" s="80">
        <f>D76+E76</f>
        <v>0</v>
      </c>
      <c r="D76" s="80">
        <v>0</v>
      </c>
      <c r="E76" s="80">
        <v>0</v>
      </c>
      <c r="F76" s="116">
        <f>G76+H76+I76</f>
        <v>300</v>
      </c>
      <c r="G76" s="80">
        <v>300</v>
      </c>
      <c r="H76" s="80">
        <v>0</v>
      </c>
      <c r="I76" s="80">
        <v>0</v>
      </c>
      <c r="J76" s="80">
        <v>1829.28368</v>
      </c>
      <c r="K76" s="80">
        <v>0</v>
      </c>
      <c r="L76" s="80">
        <f>J76+K76</f>
        <v>1829.28368</v>
      </c>
    </row>
    <row r="77" spans="1:12" ht="30" x14ac:dyDescent="0.25">
      <c r="A77" s="73">
        <v>72</v>
      </c>
      <c r="B77" s="61" t="s">
        <v>80</v>
      </c>
      <c r="C77" s="48">
        <f t="shared" ref="C77:C93" si="5">D77+E77</f>
        <v>0</v>
      </c>
      <c r="D77" s="48">
        <v>0</v>
      </c>
      <c r="E77" s="48">
        <v>0</v>
      </c>
      <c r="F77" s="56">
        <f t="shared" ref="F77:F93" si="6">G77+H77+I77</f>
        <v>0</v>
      </c>
      <c r="G77" s="48">
        <v>0</v>
      </c>
      <c r="H77" s="48">
        <v>0</v>
      </c>
      <c r="I77" s="48">
        <v>0</v>
      </c>
      <c r="J77" s="48">
        <v>1850.45965</v>
      </c>
      <c r="K77" s="48">
        <v>0</v>
      </c>
      <c r="L77" s="48">
        <f t="shared" ref="L77:L93" si="7">J77+K77</f>
        <v>1850.45965</v>
      </c>
    </row>
    <row r="78" spans="1:12" ht="30" x14ac:dyDescent="0.25">
      <c r="A78" s="73">
        <v>73</v>
      </c>
      <c r="B78" s="61" t="s">
        <v>81</v>
      </c>
      <c r="C78" s="48">
        <f t="shared" si="5"/>
        <v>0</v>
      </c>
      <c r="D78" s="48">
        <v>0</v>
      </c>
      <c r="E78" s="48">
        <v>0</v>
      </c>
      <c r="F78" s="56">
        <f t="shared" si="6"/>
        <v>150</v>
      </c>
      <c r="G78" s="48">
        <v>0</v>
      </c>
      <c r="H78" s="48">
        <v>150</v>
      </c>
      <c r="I78" s="48">
        <v>0</v>
      </c>
      <c r="J78" s="48">
        <v>147.49486999999999</v>
      </c>
      <c r="K78" s="48">
        <v>0</v>
      </c>
      <c r="L78" s="48">
        <f t="shared" si="7"/>
        <v>147.49486999999999</v>
      </c>
    </row>
    <row r="79" spans="1:12" ht="30" x14ac:dyDescent="0.25">
      <c r="A79" s="73">
        <v>74</v>
      </c>
      <c r="B79" s="61" t="s">
        <v>82</v>
      </c>
      <c r="C79" s="48">
        <f t="shared" si="5"/>
        <v>0</v>
      </c>
      <c r="D79" s="48">
        <v>0</v>
      </c>
      <c r="E79" s="48">
        <v>0</v>
      </c>
      <c r="F79" s="56">
        <f t="shared" si="6"/>
        <v>93.734999999999999</v>
      </c>
      <c r="G79" s="48">
        <v>93.734999999999999</v>
      </c>
      <c r="H79" s="48">
        <v>0</v>
      </c>
      <c r="I79" s="48">
        <v>0</v>
      </c>
      <c r="J79" s="48">
        <v>711.54960000000005</v>
      </c>
      <c r="K79" s="48">
        <v>0</v>
      </c>
      <c r="L79" s="48">
        <f t="shared" si="7"/>
        <v>711.54960000000005</v>
      </c>
    </row>
    <row r="80" spans="1:12" ht="45" x14ac:dyDescent="0.25">
      <c r="A80" s="73">
        <v>75</v>
      </c>
      <c r="B80" s="61" t="s">
        <v>83</v>
      </c>
      <c r="C80" s="48">
        <f t="shared" si="5"/>
        <v>0</v>
      </c>
      <c r="D80" s="48">
        <v>0</v>
      </c>
      <c r="E80" s="48">
        <v>0</v>
      </c>
      <c r="F80" s="56">
        <f t="shared" si="6"/>
        <v>0</v>
      </c>
      <c r="G80" s="48">
        <v>0</v>
      </c>
      <c r="H80" s="48">
        <v>0</v>
      </c>
      <c r="I80" s="48">
        <v>0</v>
      </c>
      <c r="J80" s="48">
        <v>1371.45982</v>
      </c>
      <c r="K80" s="48">
        <v>0</v>
      </c>
      <c r="L80" s="48">
        <f t="shared" si="7"/>
        <v>1371.45982</v>
      </c>
    </row>
    <row r="81" spans="1:12" ht="30" x14ac:dyDescent="0.25">
      <c r="A81" s="73">
        <v>76</v>
      </c>
      <c r="B81" s="61" t="s">
        <v>84</v>
      </c>
      <c r="C81" s="48">
        <f t="shared" si="5"/>
        <v>0</v>
      </c>
      <c r="D81" s="48">
        <v>0</v>
      </c>
      <c r="E81" s="48">
        <v>0</v>
      </c>
      <c r="F81" s="56">
        <f t="shared" si="6"/>
        <v>500</v>
      </c>
      <c r="G81" s="48">
        <v>0</v>
      </c>
      <c r="H81" s="48">
        <v>500</v>
      </c>
      <c r="I81" s="48">
        <v>0</v>
      </c>
      <c r="J81" s="48">
        <v>781.46356000000003</v>
      </c>
      <c r="K81" s="48">
        <v>0</v>
      </c>
      <c r="L81" s="48">
        <f t="shared" si="7"/>
        <v>781.46356000000003</v>
      </c>
    </row>
    <row r="82" spans="1:12" ht="60" x14ac:dyDescent="0.25">
      <c r="A82" s="73">
        <v>77</v>
      </c>
      <c r="B82" s="61" t="s">
        <v>85</v>
      </c>
      <c r="C82" s="48">
        <f t="shared" si="5"/>
        <v>0</v>
      </c>
      <c r="D82" s="48">
        <v>0</v>
      </c>
      <c r="E82" s="48">
        <v>0</v>
      </c>
      <c r="F82" s="56">
        <f t="shared" si="6"/>
        <v>0</v>
      </c>
      <c r="G82" s="48">
        <v>0</v>
      </c>
      <c r="H82" s="48">
        <v>0</v>
      </c>
      <c r="I82" s="48">
        <v>0</v>
      </c>
      <c r="J82" s="48">
        <v>382.42135000000002</v>
      </c>
      <c r="K82" s="48">
        <v>0</v>
      </c>
      <c r="L82" s="48">
        <f t="shared" si="7"/>
        <v>382.42135000000002</v>
      </c>
    </row>
    <row r="83" spans="1:12" ht="45" x14ac:dyDescent="0.25">
      <c r="A83" s="73">
        <v>78</v>
      </c>
      <c r="B83" s="61" t="s">
        <v>94</v>
      </c>
      <c r="C83" s="48">
        <f t="shared" si="5"/>
        <v>0</v>
      </c>
      <c r="D83" s="48">
        <v>0</v>
      </c>
      <c r="E83" s="48">
        <v>0</v>
      </c>
      <c r="F83" s="56">
        <f t="shared" si="6"/>
        <v>316.71199999999999</v>
      </c>
      <c r="G83" s="48">
        <v>0</v>
      </c>
      <c r="H83" s="48">
        <v>316.71199999999999</v>
      </c>
      <c r="I83" s="48">
        <v>0</v>
      </c>
      <c r="J83" s="48">
        <v>666.048</v>
      </c>
      <c r="K83" s="48">
        <v>0</v>
      </c>
      <c r="L83" s="48">
        <f t="shared" si="7"/>
        <v>666.048</v>
      </c>
    </row>
    <row r="84" spans="1:12" ht="17.25" customHeight="1" x14ac:dyDescent="0.25">
      <c r="A84" s="73">
        <v>79</v>
      </c>
      <c r="B84" s="61" t="s">
        <v>86</v>
      </c>
      <c r="C84" s="48">
        <f t="shared" si="5"/>
        <v>0</v>
      </c>
      <c r="D84" s="48">
        <v>0</v>
      </c>
      <c r="E84" s="48">
        <v>0</v>
      </c>
      <c r="F84" s="56">
        <f t="shared" si="6"/>
        <v>1556.04</v>
      </c>
      <c r="G84" s="48">
        <v>0</v>
      </c>
      <c r="H84" s="48">
        <v>1556.04</v>
      </c>
      <c r="I84" s="48">
        <v>0</v>
      </c>
      <c r="J84" s="48">
        <v>2495.8095899999998</v>
      </c>
      <c r="K84" s="48">
        <v>0</v>
      </c>
      <c r="L84" s="48">
        <f t="shared" si="7"/>
        <v>2495.8095899999998</v>
      </c>
    </row>
    <row r="85" spans="1:12" ht="45" x14ac:dyDescent="0.25">
      <c r="A85" s="73">
        <v>80</v>
      </c>
      <c r="B85" s="61" t="s">
        <v>87</v>
      </c>
      <c r="C85" s="48">
        <f t="shared" si="5"/>
        <v>0</v>
      </c>
      <c r="D85" s="48">
        <v>0</v>
      </c>
      <c r="E85" s="48">
        <v>0</v>
      </c>
      <c r="F85" s="56">
        <f t="shared" si="6"/>
        <v>0</v>
      </c>
      <c r="G85" s="48">
        <v>0</v>
      </c>
      <c r="H85" s="48">
        <v>0</v>
      </c>
      <c r="I85" s="48">
        <v>0</v>
      </c>
      <c r="J85" s="48">
        <v>931.28642000000002</v>
      </c>
      <c r="K85" s="48">
        <v>0</v>
      </c>
      <c r="L85" s="48">
        <f t="shared" si="7"/>
        <v>931.28642000000002</v>
      </c>
    </row>
    <row r="86" spans="1:12" ht="30" x14ac:dyDescent="0.25">
      <c r="A86" s="73">
        <v>81</v>
      </c>
      <c r="B86" s="61" t="s">
        <v>88</v>
      </c>
      <c r="C86" s="48">
        <f t="shared" si="5"/>
        <v>0</v>
      </c>
      <c r="D86" s="48">
        <v>0</v>
      </c>
      <c r="E86" s="48">
        <v>0</v>
      </c>
      <c r="F86" s="56">
        <f t="shared" si="6"/>
        <v>219.13800000000001</v>
      </c>
      <c r="G86" s="48">
        <v>219.13800000000001</v>
      </c>
      <c r="H86" s="48">
        <v>0</v>
      </c>
      <c r="I86" s="48">
        <v>0</v>
      </c>
      <c r="J86" s="48">
        <v>395.44632999999999</v>
      </c>
      <c r="K86" s="48">
        <v>0</v>
      </c>
      <c r="L86" s="48">
        <f t="shared" si="7"/>
        <v>395.44632999999999</v>
      </c>
    </row>
    <row r="87" spans="1:12" ht="45" x14ac:dyDescent="0.25">
      <c r="A87" s="73">
        <v>82</v>
      </c>
      <c r="B87" s="61" t="s">
        <v>89</v>
      </c>
      <c r="C87" s="48">
        <f t="shared" si="5"/>
        <v>0</v>
      </c>
      <c r="D87" s="48">
        <v>0</v>
      </c>
      <c r="E87" s="48">
        <v>0</v>
      </c>
      <c r="F87" s="56">
        <f t="shared" si="6"/>
        <v>0</v>
      </c>
      <c r="G87" s="48">
        <v>0</v>
      </c>
      <c r="H87" s="48">
        <v>0</v>
      </c>
      <c r="I87" s="48">
        <v>0</v>
      </c>
      <c r="J87" s="48">
        <v>683.34970999999996</v>
      </c>
      <c r="K87" s="48">
        <v>0</v>
      </c>
      <c r="L87" s="48">
        <f t="shared" si="7"/>
        <v>683.34970999999996</v>
      </c>
    </row>
    <row r="88" spans="1:12" ht="45" x14ac:dyDescent="0.25">
      <c r="A88" s="73">
        <v>83</v>
      </c>
      <c r="B88" s="61" t="s">
        <v>103</v>
      </c>
      <c r="C88" s="48">
        <f t="shared" si="5"/>
        <v>0</v>
      </c>
      <c r="D88" s="48">
        <v>0</v>
      </c>
      <c r="E88" s="48">
        <v>0</v>
      </c>
      <c r="F88" s="56">
        <f t="shared" si="6"/>
        <v>0</v>
      </c>
      <c r="G88" s="48">
        <v>0</v>
      </c>
      <c r="H88" s="48">
        <v>0</v>
      </c>
      <c r="I88" s="48">
        <v>0</v>
      </c>
      <c r="J88" s="48">
        <v>664.30377999999996</v>
      </c>
      <c r="K88" s="48">
        <v>0</v>
      </c>
      <c r="L88" s="48">
        <f t="shared" si="7"/>
        <v>664.30377999999996</v>
      </c>
    </row>
    <row r="89" spans="1:12" ht="60" x14ac:dyDescent="0.25">
      <c r="A89" s="73">
        <v>84</v>
      </c>
      <c r="B89" s="61" t="s">
        <v>90</v>
      </c>
      <c r="C89" s="48">
        <f t="shared" si="5"/>
        <v>0</v>
      </c>
      <c r="D89" s="48">
        <v>0</v>
      </c>
      <c r="E89" s="48">
        <v>0</v>
      </c>
      <c r="F89" s="56">
        <f t="shared" si="6"/>
        <v>386.5</v>
      </c>
      <c r="G89" s="48">
        <v>0</v>
      </c>
      <c r="H89" s="48">
        <v>386.5</v>
      </c>
      <c r="I89" s="48">
        <v>0</v>
      </c>
      <c r="J89" s="48">
        <v>196.06219999999999</v>
      </c>
      <c r="K89" s="48">
        <v>0</v>
      </c>
      <c r="L89" s="48">
        <f t="shared" si="7"/>
        <v>196.06219999999999</v>
      </c>
    </row>
    <row r="90" spans="1:12" ht="60" x14ac:dyDescent="0.25">
      <c r="A90" s="73">
        <v>85</v>
      </c>
      <c r="B90" s="61" t="s">
        <v>91</v>
      </c>
      <c r="C90" s="48">
        <f t="shared" si="5"/>
        <v>0</v>
      </c>
      <c r="D90" s="48">
        <v>0</v>
      </c>
      <c r="E90" s="48">
        <v>0</v>
      </c>
      <c r="F90" s="56">
        <f t="shared" si="6"/>
        <v>248.624</v>
      </c>
      <c r="G90" s="56">
        <v>84.869</v>
      </c>
      <c r="H90" s="56">
        <v>163.755</v>
      </c>
      <c r="I90" s="56">
        <v>0</v>
      </c>
      <c r="J90" s="48">
        <v>613.17616999999996</v>
      </c>
      <c r="K90" s="48">
        <v>0</v>
      </c>
      <c r="L90" s="48">
        <f t="shared" si="7"/>
        <v>613.17616999999996</v>
      </c>
    </row>
    <row r="91" spans="1:12" ht="60" x14ac:dyDescent="0.25">
      <c r="A91" s="73">
        <v>86</v>
      </c>
      <c r="B91" s="61" t="s">
        <v>92</v>
      </c>
      <c r="C91" s="48">
        <f t="shared" si="5"/>
        <v>0</v>
      </c>
      <c r="D91" s="48">
        <v>0</v>
      </c>
      <c r="E91" s="48">
        <v>0</v>
      </c>
      <c r="F91" s="56">
        <f t="shared" si="6"/>
        <v>314.75400000000002</v>
      </c>
      <c r="G91" s="48">
        <v>0</v>
      </c>
      <c r="H91" s="48">
        <v>314.75400000000002</v>
      </c>
      <c r="I91" s="48">
        <v>0</v>
      </c>
      <c r="J91" s="48">
        <v>408.12171999999998</v>
      </c>
      <c r="K91" s="48">
        <v>0</v>
      </c>
      <c r="L91" s="48">
        <f t="shared" si="7"/>
        <v>408.12171999999998</v>
      </c>
    </row>
    <row r="92" spans="1:12" ht="60" x14ac:dyDescent="0.25">
      <c r="A92" s="73">
        <v>87</v>
      </c>
      <c r="B92" s="61" t="s">
        <v>93</v>
      </c>
      <c r="C92" s="48">
        <f t="shared" si="5"/>
        <v>0</v>
      </c>
      <c r="D92" s="56">
        <v>0</v>
      </c>
      <c r="E92" s="56">
        <v>0</v>
      </c>
      <c r="F92" s="56">
        <f t="shared" si="6"/>
        <v>256.89999999999998</v>
      </c>
      <c r="G92" s="56">
        <v>0</v>
      </c>
      <c r="H92" s="56">
        <v>256.89999999999998</v>
      </c>
      <c r="I92" s="56">
        <v>0</v>
      </c>
      <c r="J92" s="48">
        <v>273.13299999999998</v>
      </c>
      <c r="K92" s="48">
        <v>0</v>
      </c>
      <c r="L92" s="48">
        <f t="shared" si="7"/>
        <v>273.13299999999998</v>
      </c>
    </row>
    <row r="93" spans="1:12" x14ac:dyDescent="0.25">
      <c r="A93" s="73">
        <v>88</v>
      </c>
      <c r="B93" s="61" t="s">
        <v>96</v>
      </c>
      <c r="C93" s="48">
        <f t="shared" si="5"/>
        <v>0</v>
      </c>
      <c r="D93" s="48">
        <v>0</v>
      </c>
      <c r="E93" s="48">
        <v>0</v>
      </c>
      <c r="F93" s="56">
        <f t="shared" si="6"/>
        <v>470</v>
      </c>
      <c r="G93" s="48">
        <v>0</v>
      </c>
      <c r="H93" s="48">
        <v>470</v>
      </c>
      <c r="I93" s="48">
        <v>0</v>
      </c>
      <c r="J93" s="48">
        <v>293.34694999999999</v>
      </c>
      <c r="K93" s="48">
        <v>14.51248</v>
      </c>
      <c r="L93" s="48">
        <f t="shared" si="7"/>
        <v>307.85942999999997</v>
      </c>
    </row>
    <row r="94" spans="1:12" s="28" customFormat="1" ht="14.25" x14ac:dyDescent="0.2">
      <c r="A94" s="27"/>
      <c r="B94" s="43" t="s">
        <v>18</v>
      </c>
      <c r="C94" s="50">
        <f t="shared" ref="C94:L94" si="8">SUM(C6:C93)</f>
        <v>17517.345920000003</v>
      </c>
      <c r="D94" s="50">
        <f t="shared" si="8"/>
        <v>17517.345920000003</v>
      </c>
      <c r="E94" s="50">
        <f t="shared" si="8"/>
        <v>0</v>
      </c>
      <c r="F94" s="50">
        <f t="shared" si="8"/>
        <v>32878.685750000004</v>
      </c>
      <c r="G94" s="50">
        <f t="shared" si="8"/>
        <v>6008.1837699999987</v>
      </c>
      <c r="H94" s="50">
        <f t="shared" si="8"/>
        <v>25890.157310000002</v>
      </c>
      <c r="I94" s="50">
        <f t="shared" si="8"/>
        <v>980.34467000000006</v>
      </c>
      <c r="J94" s="50">
        <f t="shared" si="8"/>
        <v>158439.02558999992</v>
      </c>
      <c r="K94" s="50">
        <f t="shared" si="8"/>
        <v>46.199439999999996</v>
      </c>
      <c r="L94" s="50">
        <f t="shared" si="8"/>
        <v>158485.22502999991</v>
      </c>
    </row>
  </sheetData>
  <mergeCells count="6">
    <mergeCell ref="J4:L4"/>
    <mergeCell ref="D2:I2"/>
    <mergeCell ref="A4:A5"/>
    <mergeCell ref="B4:B5"/>
    <mergeCell ref="C4:E4"/>
    <mergeCell ref="F4:I4"/>
  </mergeCells>
  <pageMargins left="0.15748031496062992" right="0.15748031496062992" top="0.27559055118110237" bottom="0.27559055118110237" header="0.31496062992125984" footer="0.31496062992125984"/>
  <pageSetup paperSize="9" scale="75" fitToHeight="0" orientation="landscape" r:id="rId1"/>
  <rowBreaks count="1" manualBreakCount="1">
    <brk id="50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95"/>
  <sheetViews>
    <sheetView tabSelected="1" view="pageBreakPreview" zoomScale="90" zoomScaleNormal="110" zoomScaleSheetLayoutView="90" workbookViewId="0">
      <pane xSplit="2" ySplit="6" topLeftCell="C100" activePane="bottomRight" state="frozen"/>
      <selection activeCell="A8" sqref="A8:A75"/>
      <selection pane="topRight" activeCell="A8" sqref="A8:A75"/>
      <selection pane="bottomLeft" activeCell="A8" sqref="A8:A75"/>
      <selection pane="bottomRight" activeCell="C95" sqref="C95"/>
    </sheetView>
  </sheetViews>
  <sheetFormatPr defaultRowHeight="15" x14ac:dyDescent="0.25"/>
  <cols>
    <col min="1" max="1" width="4.42578125" style="3" bestFit="1" customWidth="1"/>
    <col min="2" max="2" width="60.85546875" style="3" customWidth="1"/>
    <col min="3" max="3" width="14" style="3" customWidth="1"/>
    <col min="4" max="4" width="10" style="3" customWidth="1"/>
    <col min="5" max="5" width="13.140625" style="3" customWidth="1"/>
    <col min="6" max="6" width="14.28515625" style="3" customWidth="1"/>
    <col min="7" max="7" width="19.140625" style="3" customWidth="1"/>
    <col min="8" max="8" width="17.28515625" style="3" customWidth="1"/>
    <col min="9" max="16384" width="9.140625" style="3"/>
  </cols>
  <sheetData>
    <row r="1" spans="1:8" x14ac:dyDescent="0.25">
      <c r="H1" s="4" t="s">
        <v>71</v>
      </c>
    </row>
    <row r="2" spans="1:8" x14ac:dyDescent="0.25">
      <c r="A2" s="172" t="s">
        <v>102</v>
      </c>
      <c r="B2" s="172"/>
      <c r="C2" s="172"/>
      <c r="D2" s="172"/>
      <c r="E2" s="172"/>
      <c r="F2" s="172"/>
      <c r="G2" s="172"/>
      <c r="H2" s="172"/>
    </row>
    <row r="4" spans="1:8" s="16" customFormat="1" ht="15.75" customHeight="1" x14ac:dyDescent="0.25">
      <c r="A4" s="166" t="s">
        <v>20</v>
      </c>
      <c r="B4" s="166" t="s">
        <v>30</v>
      </c>
      <c r="C4" s="166" t="s">
        <v>72</v>
      </c>
      <c r="D4" s="166"/>
      <c r="E4" s="166"/>
      <c r="F4" s="166" t="s">
        <v>73</v>
      </c>
      <c r="G4" s="166"/>
      <c r="H4" s="166" t="s">
        <v>74</v>
      </c>
    </row>
    <row r="5" spans="1:8" s="16" customFormat="1" x14ac:dyDescent="0.25">
      <c r="A5" s="166"/>
      <c r="B5" s="166"/>
      <c r="C5" s="166" t="s">
        <v>15</v>
      </c>
      <c r="D5" s="166" t="s">
        <v>75</v>
      </c>
      <c r="E5" s="166"/>
      <c r="F5" s="166" t="s">
        <v>15</v>
      </c>
      <c r="G5" s="166" t="s">
        <v>76</v>
      </c>
      <c r="H5" s="166"/>
    </row>
    <row r="6" spans="1:8" s="16" customFormat="1" ht="60" x14ac:dyDescent="0.25">
      <c r="A6" s="166"/>
      <c r="B6" s="166"/>
      <c r="C6" s="166"/>
      <c r="D6" s="46" t="s">
        <v>15</v>
      </c>
      <c r="E6" s="46" t="s">
        <v>77</v>
      </c>
      <c r="F6" s="166"/>
      <c r="G6" s="166"/>
      <c r="H6" s="166"/>
    </row>
    <row r="7" spans="1:8" x14ac:dyDescent="0.25">
      <c r="A7" s="46">
        <v>1</v>
      </c>
      <c r="B7" s="77" t="s">
        <v>124</v>
      </c>
      <c r="C7" s="48">
        <v>570.48879799999997</v>
      </c>
      <c r="D7" s="48">
        <v>0</v>
      </c>
      <c r="E7" s="48">
        <v>0</v>
      </c>
      <c r="F7" s="48">
        <v>27.443000000000001</v>
      </c>
      <c r="G7" s="48">
        <v>0</v>
      </c>
      <c r="H7" s="48">
        <v>0</v>
      </c>
    </row>
    <row r="8" spans="1:8" x14ac:dyDescent="0.25">
      <c r="A8" s="46">
        <v>2</v>
      </c>
      <c r="B8" s="77" t="s">
        <v>125</v>
      </c>
      <c r="C8" s="48">
        <v>300.96100999999999</v>
      </c>
      <c r="D8" s="48">
        <v>0</v>
      </c>
      <c r="E8" s="48">
        <v>0</v>
      </c>
      <c r="F8" s="48">
        <v>79.667349999999999</v>
      </c>
      <c r="G8" s="48">
        <v>0</v>
      </c>
      <c r="H8" s="48">
        <v>0</v>
      </c>
    </row>
    <row r="9" spans="1:8" x14ac:dyDescent="0.25">
      <c r="A9" s="73">
        <v>3</v>
      </c>
      <c r="B9" s="77" t="s">
        <v>126</v>
      </c>
      <c r="C9" s="48">
        <v>226.78245999999999</v>
      </c>
      <c r="D9" s="48">
        <v>0</v>
      </c>
      <c r="E9" s="48">
        <v>0</v>
      </c>
      <c r="F9" s="48">
        <v>33.960999999999999</v>
      </c>
      <c r="G9" s="48">
        <v>0</v>
      </c>
      <c r="H9" s="48">
        <v>0</v>
      </c>
    </row>
    <row r="10" spans="1:8" x14ac:dyDescent="0.25">
      <c r="A10" s="73">
        <v>4</v>
      </c>
      <c r="B10" s="77" t="s">
        <v>127</v>
      </c>
      <c r="C10" s="48">
        <v>427.85803999999996</v>
      </c>
      <c r="D10" s="48">
        <v>0</v>
      </c>
      <c r="E10" s="48">
        <v>0</v>
      </c>
      <c r="F10" s="48">
        <v>337.17858999999999</v>
      </c>
      <c r="G10" s="48">
        <v>0</v>
      </c>
      <c r="H10" s="48">
        <v>0</v>
      </c>
    </row>
    <row r="11" spans="1:8" x14ac:dyDescent="0.25">
      <c r="A11" s="73">
        <v>5</v>
      </c>
      <c r="B11" s="77" t="s">
        <v>128</v>
      </c>
      <c r="C11" s="48">
        <v>468.33357999999998</v>
      </c>
      <c r="D11" s="48">
        <v>0</v>
      </c>
      <c r="E11" s="48">
        <v>0</v>
      </c>
      <c r="F11" s="48">
        <v>168.108</v>
      </c>
      <c r="G11" s="48">
        <v>0</v>
      </c>
      <c r="H11" s="48">
        <v>0</v>
      </c>
    </row>
    <row r="12" spans="1:8" x14ac:dyDescent="0.25">
      <c r="A12" s="73">
        <v>6</v>
      </c>
      <c r="B12" s="77" t="s">
        <v>129</v>
      </c>
      <c r="C12" s="48">
        <v>1255.96</v>
      </c>
      <c r="D12" s="48">
        <v>0</v>
      </c>
      <c r="E12" s="48">
        <v>0</v>
      </c>
      <c r="F12" s="48">
        <v>266.99020999999999</v>
      </c>
      <c r="G12" s="48">
        <v>0</v>
      </c>
      <c r="H12" s="48">
        <v>0</v>
      </c>
    </row>
    <row r="13" spans="1:8" x14ac:dyDescent="0.25">
      <c r="A13" s="73">
        <v>7</v>
      </c>
      <c r="B13" s="77" t="s">
        <v>130</v>
      </c>
      <c r="C13" s="48">
        <v>958.44871000000001</v>
      </c>
      <c r="D13" s="48">
        <v>0</v>
      </c>
      <c r="E13" s="48">
        <v>0</v>
      </c>
      <c r="F13" s="48">
        <v>324.94864999999999</v>
      </c>
      <c r="G13" s="48">
        <v>0</v>
      </c>
      <c r="H13" s="48">
        <v>0</v>
      </c>
    </row>
    <row r="14" spans="1:8" x14ac:dyDescent="0.25">
      <c r="A14" s="73">
        <v>8</v>
      </c>
      <c r="B14" s="77" t="s">
        <v>131</v>
      </c>
      <c r="C14" s="48">
        <v>645.42066</v>
      </c>
      <c r="D14" s="48">
        <v>0</v>
      </c>
      <c r="E14" s="48">
        <v>0</v>
      </c>
      <c r="F14" s="48">
        <v>413.02161000000001</v>
      </c>
      <c r="G14" s="48">
        <v>0</v>
      </c>
      <c r="H14" s="48">
        <v>0</v>
      </c>
    </row>
    <row r="15" spans="1:8" x14ac:dyDescent="0.25">
      <c r="A15" s="73">
        <v>9</v>
      </c>
      <c r="B15" s="77" t="s">
        <v>132</v>
      </c>
      <c r="C15" s="48">
        <v>282.19319000000002</v>
      </c>
      <c r="D15" s="48">
        <v>0</v>
      </c>
      <c r="E15" s="48">
        <v>0</v>
      </c>
      <c r="F15" s="48">
        <v>228.30893</v>
      </c>
      <c r="G15" s="48">
        <v>0</v>
      </c>
      <c r="H15" s="48">
        <v>0</v>
      </c>
    </row>
    <row r="16" spans="1:8" x14ac:dyDescent="0.25">
      <c r="A16" s="73">
        <v>10</v>
      </c>
      <c r="B16" s="77" t="s">
        <v>133</v>
      </c>
      <c r="C16" s="48">
        <v>143.23396600000001</v>
      </c>
      <c r="D16" s="48">
        <v>0</v>
      </c>
      <c r="E16" s="48">
        <v>0</v>
      </c>
      <c r="F16" s="48">
        <v>2299.8243499999999</v>
      </c>
      <c r="G16" s="48">
        <v>0</v>
      </c>
      <c r="H16" s="48">
        <v>0</v>
      </c>
    </row>
    <row r="17" spans="1:8" x14ac:dyDescent="0.25">
      <c r="A17" s="73">
        <v>11</v>
      </c>
      <c r="B17" s="77" t="s">
        <v>134</v>
      </c>
      <c r="C17" s="48">
        <v>278.85851000000002</v>
      </c>
      <c r="D17" s="48">
        <v>0</v>
      </c>
      <c r="E17" s="48">
        <v>0</v>
      </c>
      <c r="F17" s="48">
        <v>130.05346</v>
      </c>
      <c r="G17" s="48">
        <v>0</v>
      </c>
      <c r="H17" s="48">
        <v>0</v>
      </c>
    </row>
    <row r="18" spans="1:8" x14ac:dyDescent="0.25">
      <c r="A18" s="73">
        <v>12</v>
      </c>
      <c r="B18" s="77" t="s">
        <v>135</v>
      </c>
      <c r="C18" s="48">
        <v>21.70072</v>
      </c>
      <c r="D18" s="48">
        <v>0</v>
      </c>
      <c r="E18" s="48">
        <v>0</v>
      </c>
      <c r="F18" s="48">
        <v>252.26251999999999</v>
      </c>
      <c r="G18" s="48">
        <v>0</v>
      </c>
      <c r="H18" s="48">
        <v>0</v>
      </c>
    </row>
    <row r="19" spans="1:8" x14ac:dyDescent="0.25">
      <c r="A19" s="73">
        <v>13</v>
      </c>
      <c r="B19" s="77" t="s">
        <v>136</v>
      </c>
      <c r="C19" s="48">
        <v>363.108</v>
      </c>
      <c r="D19" s="48">
        <v>0</v>
      </c>
      <c r="E19" s="48">
        <v>0</v>
      </c>
      <c r="F19" s="48">
        <v>309.76499999999999</v>
      </c>
      <c r="G19" s="48">
        <v>0</v>
      </c>
      <c r="H19" s="48">
        <v>0</v>
      </c>
    </row>
    <row r="20" spans="1:8" x14ac:dyDescent="0.25">
      <c r="A20" s="73">
        <v>14</v>
      </c>
      <c r="B20" s="77" t="s">
        <v>137</v>
      </c>
      <c r="C20" s="59">
        <v>166.44296</v>
      </c>
      <c r="D20" s="59">
        <v>0</v>
      </c>
      <c r="E20" s="59">
        <v>0</v>
      </c>
      <c r="F20" s="59">
        <v>1260.5515800000001</v>
      </c>
      <c r="G20" s="48">
        <v>0</v>
      </c>
      <c r="H20" s="48">
        <v>0</v>
      </c>
    </row>
    <row r="21" spans="1:8" x14ac:dyDescent="0.25">
      <c r="A21" s="73">
        <v>15</v>
      </c>
      <c r="B21" s="77" t="s">
        <v>138</v>
      </c>
      <c r="C21" s="48">
        <v>877.02809000000002</v>
      </c>
      <c r="D21" s="48">
        <v>0</v>
      </c>
      <c r="E21" s="48">
        <v>0</v>
      </c>
      <c r="F21" s="48">
        <v>407.49241999999998</v>
      </c>
      <c r="G21" s="48">
        <v>0</v>
      </c>
      <c r="H21" s="48">
        <v>0</v>
      </c>
    </row>
    <row r="22" spans="1:8" x14ac:dyDescent="0.25">
      <c r="A22" s="73">
        <v>16</v>
      </c>
      <c r="B22" s="77" t="s">
        <v>139</v>
      </c>
      <c r="C22" s="48">
        <v>1011.7782099999999</v>
      </c>
      <c r="D22" s="48">
        <v>0</v>
      </c>
      <c r="E22" s="48">
        <v>0</v>
      </c>
      <c r="F22" s="48">
        <v>390.71199999999999</v>
      </c>
      <c r="G22" s="48">
        <v>0</v>
      </c>
      <c r="H22" s="48">
        <v>0</v>
      </c>
    </row>
    <row r="23" spans="1:8" x14ac:dyDescent="0.25">
      <c r="A23" s="73">
        <v>17</v>
      </c>
      <c r="B23" s="77" t="s">
        <v>140</v>
      </c>
      <c r="C23" s="48">
        <v>255.38736</v>
      </c>
      <c r="D23" s="48">
        <v>0</v>
      </c>
      <c r="E23" s="48">
        <v>0</v>
      </c>
      <c r="F23" s="48">
        <v>70.904950000000014</v>
      </c>
      <c r="G23" s="48">
        <v>0</v>
      </c>
      <c r="H23" s="48">
        <v>0</v>
      </c>
    </row>
    <row r="24" spans="1:8" x14ac:dyDescent="0.25">
      <c r="A24" s="73">
        <v>18</v>
      </c>
      <c r="B24" s="77" t="s">
        <v>141</v>
      </c>
      <c r="C24" s="48">
        <v>365.11361999999997</v>
      </c>
      <c r="D24" s="48">
        <v>0</v>
      </c>
      <c r="E24" s="48">
        <v>0</v>
      </c>
      <c r="F24" s="48">
        <v>273.22095999999999</v>
      </c>
      <c r="G24" s="48">
        <v>0</v>
      </c>
      <c r="H24" s="48">
        <v>0</v>
      </c>
    </row>
    <row r="25" spans="1:8" x14ac:dyDescent="0.25">
      <c r="A25" s="73">
        <v>19</v>
      </c>
      <c r="B25" s="77" t="s">
        <v>142</v>
      </c>
      <c r="C25" s="48">
        <v>1667.61321</v>
      </c>
      <c r="D25" s="48">
        <v>0</v>
      </c>
      <c r="E25" s="48">
        <v>0</v>
      </c>
      <c r="F25" s="48">
        <v>524.98068000000001</v>
      </c>
      <c r="G25" s="48">
        <v>0</v>
      </c>
      <c r="H25" s="48">
        <v>0</v>
      </c>
    </row>
    <row r="26" spans="1:8" x14ac:dyDescent="0.25">
      <c r="A26" s="73">
        <v>20</v>
      </c>
      <c r="B26" s="77" t="s">
        <v>143</v>
      </c>
      <c r="C26" s="48">
        <v>357.01862999999997</v>
      </c>
      <c r="D26" s="48">
        <v>0</v>
      </c>
      <c r="E26" s="48">
        <v>0</v>
      </c>
      <c r="F26" s="48">
        <v>124.05333</v>
      </c>
      <c r="G26" s="48">
        <v>0</v>
      </c>
      <c r="H26" s="48">
        <v>0</v>
      </c>
    </row>
    <row r="27" spans="1:8" x14ac:dyDescent="0.25">
      <c r="A27" s="73">
        <v>21</v>
      </c>
      <c r="B27" s="77" t="s">
        <v>144</v>
      </c>
      <c r="C27" s="48">
        <v>412.31707</v>
      </c>
      <c r="D27" s="48">
        <v>0</v>
      </c>
      <c r="E27" s="48">
        <v>0</v>
      </c>
      <c r="F27" s="48">
        <v>65.698939999999993</v>
      </c>
      <c r="G27" s="48">
        <v>0</v>
      </c>
      <c r="H27" s="48">
        <v>0</v>
      </c>
    </row>
    <row r="28" spans="1:8" x14ac:dyDescent="0.25">
      <c r="A28" s="73">
        <v>22</v>
      </c>
      <c r="B28" s="77" t="s">
        <v>145</v>
      </c>
      <c r="C28" s="48">
        <v>113.22199999999999</v>
      </c>
      <c r="D28" s="48">
        <v>0</v>
      </c>
      <c r="E28" s="48">
        <v>0</v>
      </c>
      <c r="F28" s="48">
        <v>243.48099999999999</v>
      </c>
      <c r="G28" s="48">
        <v>0</v>
      </c>
      <c r="H28" s="48">
        <v>0</v>
      </c>
    </row>
    <row r="29" spans="1:8" x14ac:dyDescent="0.25">
      <c r="A29" s="73">
        <v>23</v>
      </c>
      <c r="B29" s="77" t="s">
        <v>146</v>
      </c>
      <c r="C29" s="48">
        <v>241.57534999999999</v>
      </c>
      <c r="D29" s="48">
        <v>0</v>
      </c>
      <c r="E29" s="48">
        <v>0</v>
      </c>
      <c r="F29" s="48">
        <v>58.356439999999999</v>
      </c>
      <c r="G29" s="48">
        <v>0</v>
      </c>
      <c r="H29" s="48">
        <v>0</v>
      </c>
    </row>
    <row r="30" spans="1:8" x14ac:dyDescent="0.25">
      <c r="A30" s="73">
        <v>24</v>
      </c>
      <c r="B30" s="77" t="s">
        <v>147</v>
      </c>
      <c r="C30" s="48">
        <v>64.565569999999994</v>
      </c>
      <c r="D30" s="48">
        <v>0</v>
      </c>
      <c r="E30" s="48">
        <v>0</v>
      </c>
      <c r="F30" s="48">
        <v>30.749569999999999</v>
      </c>
      <c r="G30" s="48">
        <v>0</v>
      </c>
      <c r="H30" s="48">
        <v>0</v>
      </c>
    </row>
    <row r="31" spans="1:8" x14ac:dyDescent="0.25">
      <c r="A31" s="73">
        <v>25</v>
      </c>
      <c r="B31" s="77" t="s">
        <v>148</v>
      </c>
      <c r="C31" s="48">
        <v>337.63722999999999</v>
      </c>
      <c r="D31" s="48">
        <v>0</v>
      </c>
      <c r="E31" s="48">
        <v>0</v>
      </c>
      <c r="F31" s="48">
        <v>26.1844</v>
      </c>
      <c r="G31" s="48">
        <v>0</v>
      </c>
      <c r="H31" s="48">
        <v>0</v>
      </c>
    </row>
    <row r="32" spans="1:8" x14ac:dyDescent="0.25">
      <c r="A32" s="73">
        <v>26</v>
      </c>
      <c r="B32" s="77" t="s">
        <v>149</v>
      </c>
      <c r="C32" s="48">
        <v>369.40224999999998</v>
      </c>
      <c r="D32" s="48">
        <v>0</v>
      </c>
      <c r="E32" s="48">
        <v>0</v>
      </c>
      <c r="F32" s="48">
        <v>241.50290000000001</v>
      </c>
      <c r="G32" s="48">
        <v>0</v>
      </c>
      <c r="H32" s="48">
        <v>0</v>
      </c>
    </row>
    <row r="33" spans="1:8" x14ac:dyDescent="0.25">
      <c r="A33" s="73">
        <v>27</v>
      </c>
      <c r="B33" s="77" t="s">
        <v>150</v>
      </c>
      <c r="C33" s="48">
        <v>404.68687</v>
      </c>
      <c r="D33" s="48">
        <v>0</v>
      </c>
      <c r="E33" s="48">
        <v>0</v>
      </c>
      <c r="F33" s="48">
        <v>149.51613</v>
      </c>
      <c r="G33" s="48">
        <v>0</v>
      </c>
      <c r="H33" s="48">
        <v>0</v>
      </c>
    </row>
    <row r="34" spans="1:8" x14ac:dyDescent="0.25">
      <c r="A34" s="73">
        <v>28</v>
      </c>
      <c r="B34" s="77" t="s">
        <v>151</v>
      </c>
      <c r="C34" s="48">
        <v>212.50045</v>
      </c>
      <c r="D34" s="48">
        <v>0</v>
      </c>
      <c r="E34" s="48">
        <v>0</v>
      </c>
      <c r="F34" s="48">
        <v>14.027049999999999</v>
      </c>
      <c r="G34" s="48">
        <v>0</v>
      </c>
      <c r="H34" s="48">
        <v>0</v>
      </c>
    </row>
    <row r="35" spans="1:8" x14ac:dyDescent="0.25">
      <c r="A35" s="73">
        <v>29</v>
      </c>
      <c r="B35" s="77" t="s">
        <v>152</v>
      </c>
      <c r="C35" s="48">
        <v>638.53054999999995</v>
      </c>
      <c r="D35" s="48">
        <v>0</v>
      </c>
      <c r="E35" s="48">
        <v>0</v>
      </c>
      <c r="F35" s="48">
        <v>81.226600000000005</v>
      </c>
      <c r="G35" s="48">
        <v>0</v>
      </c>
      <c r="H35" s="48">
        <v>0</v>
      </c>
    </row>
    <row r="36" spans="1:8" x14ac:dyDescent="0.25">
      <c r="A36" s="73">
        <v>30</v>
      </c>
      <c r="B36" s="77" t="s">
        <v>153</v>
      </c>
      <c r="C36" s="48">
        <v>178.47490999999999</v>
      </c>
      <c r="D36" s="48">
        <v>0</v>
      </c>
      <c r="E36" s="48">
        <v>0</v>
      </c>
      <c r="F36" s="48">
        <v>132.70034999999999</v>
      </c>
      <c r="G36" s="48">
        <v>0</v>
      </c>
      <c r="H36" s="48">
        <v>0</v>
      </c>
    </row>
    <row r="37" spans="1:8" x14ac:dyDescent="0.25">
      <c r="A37" s="73">
        <v>31</v>
      </c>
      <c r="B37" s="77" t="s">
        <v>154</v>
      </c>
      <c r="C37" s="48">
        <v>84.854900000000001</v>
      </c>
      <c r="D37" s="48">
        <v>0</v>
      </c>
      <c r="E37" s="48">
        <v>0</v>
      </c>
      <c r="F37" s="48">
        <v>74.189980000000006</v>
      </c>
      <c r="G37" s="48">
        <v>0</v>
      </c>
      <c r="H37" s="48">
        <v>0</v>
      </c>
    </row>
    <row r="38" spans="1:8" x14ac:dyDescent="0.25">
      <c r="A38" s="73">
        <v>32</v>
      </c>
      <c r="B38" s="77" t="s">
        <v>155</v>
      </c>
      <c r="C38" s="48">
        <v>191.79210999999998</v>
      </c>
      <c r="D38" s="48">
        <v>0</v>
      </c>
      <c r="E38" s="48">
        <v>0</v>
      </c>
      <c r="F38" s="48">
        <v>183.28203000000002</v>
      </c>
      <c r="G38" s="48">
        <v>0</v>
      </c>
      <c r="H38" s="48">
        <v>0</v>
      </c>
    </row>
    <row r="39" spans="1:8" x14ac:dyDescent="0.25">
      <c r="A39" s="73">
        <v>33</v>
      </c>
      <c r="B39" s="77" t="s">
        <v>156</v>
      </c>
      <c r="C39" s="48">
        <v>438.16419999999999</v>
      </c>
      <c r="D39" s="48">
        <v>0</v>
      </c>
      <c r="E39" s="48">
        <v>0</v>
      </c>
      <c r="F39" s="48">
        <v>350.09172000000001</v>
      </c>
      <c r="G39" s="48">
        <v>0</v>
      </c>
      <c r="H39" s="48">
        <v>0</v>
      </c>
    </row>
    <row r="40" spans="1:8" x14ac:dyDescent="0.25">
      <c r="A40" s="73">
        <v>34</v>
      </c>
      <c r="B40" s="77" t="s">
        <v>157</v>
      </c>
      <c r="C40" s="48">
        <v>186.31262000000001</v>
      </c>
      <c r="D40" s="48">
        <v>0</v>
      </c>
      <c r="E40" s="48">
        <v>0</v>
      </c>
      <c r="F40" s="48">
        <v>250.97148999999999</v>
      </c>
      <c r="G40" s="48">
        <v>0</v>
      </c>
      <c r="H40" s="48">
        <v>0</v>
      </c>
    </row>
    <row r="41" spans="1:8" x14ac:dyDescent="0.25">
      <c r="A41" s="73">
        <v>35</v>
      </c>
      <c r="B41" s="77" t="s">
        <v>158</v>
      </c>
      <c r="C41" s="48">
        <v>456.42973000000001</v>
      </c>
      <c r="D41" s="48">
        <v>0</v>
      </c>
      <c r="E41" s="48">
        <v>0</v>
      </c>
      <c r="F41" s="48">
        <v>22.641970000000001</v>
      </c>
      <c r="G41" s="48">
        <v>0</v>
      </c>
      <c r="H41" s="48">
        <v>0</v>
      </c>
    </row>
    <row r="42" spans="1:8" x14ac:dyDescent="0.25">
      <c r="A42" s="73">
        <v>36</v>
      </c>
      <c r="B42" s="77" t="s">
        <v>159</v>
      </c>
      <c r="C42" s="48">
        <v>358.27713</v>
      </c>
      <c r="D42" s="48">
        <v>0</v>
      </c>
      <c r="E42" s="48">
        <v>0</v>
      </c>
      <c r="F42" s="48">
        <v>19.646260000000002</v>
      </c>
      <c r="G42" s="48">
        <v>0</v>
      </c>
      <c r="H42" s="48">
        <v>0</v>
      </c>
    </row>
    <row r="43" spans="1:8" x14ac:dyDescent="0.25">
      <c r="A43" s="73">
        <v>37</v>
      </c>
      <c r="B43" s="77" t="s">
        <v>160</v>
      </c>
      <c r="C43" s="48">
        <v>42.606300000000005</v>
      </c>
      <c r="D43" s="48">
        <v>0</v>
      </c>
      <c r="E43" s="48">
        <v>0</v>
      </c>
      <c r="F43" s="48">
        <v>340.04897999999997</v>
      </c>
      <c r="G43" s="48">
        <v>0</v>
      </c>
      <c r="H43" s="48">
        <v>0</v>
      </c>
    </row>
    <row r="44" spans="1:8" x14ac:dyDescent="0.25">
      <c r="A44" s="73">
        <v>38</v>
      </c>
      <c r="B44" s="77" t="s">
        <v>161</v>
      </c>
      <c r="C44" s="48">
        <v>184.50573</v>
      </c>
      <c r="D44" s="48">
        <v>0</v>
      </c>
      <c r="E44" s="48">
        <v>0</v>
      </c>
      <c r="F44" s="48">
        <v>209.62790000000001</v>
      </c>
      <c r="G44" s="48">
        <v>0</v>
      </c>
      <c r="H44" s="48">
        <v>0</v>
      </c>
    </row>
    <row r="45" spans="1:8" x14ac:dyDescent="0.25">
      <c r="A45" s="73">
        <v>39</v>
      </c>
      <c r="B45" s="77" t="s">
        <v>162</v>
      </c>
      <c r="C45" s="48">
        <v>999.88508000000002</v>
      </c>
      <c r="D45" s="48">
        <v>0</v>
      </c>
      <c r="E45" s="48">
        <v>0</v>
      </c>
      <c r="F45" s="48">
        <v>441.60867999999999</v>
      </c>
      <c r="G45" s="48">
        <v>0</v>
      </c>
      <c r="H45" s="48">
        <v>0</v>
      </c>
    </row>
    <row r="46" spans="1:8" x14ac:dyDescent="0.25">
      <c r="A46" s="73">
        <v>40</v>
      </c>
      <c r="B46" s="77" t="s">
        <v>163</v>
      </c>
      <c r="C46" s="48">
        <v>569.33370000000002</v>
      </c>
      <c r="D46" s="48">
        <v>0</v>
      </c>
      <c r="E46" s="48">
        <v>0</v>
      </c>
      <c r="F46" s="48">
        <v>393.20310999999998</v>
      </c>
      <c r="G46" s="48">
        <v>0</v>
      </c>
      <c r="H46" s="48">
        <v>0</v>
      </c>
    </row>
    <row r="47" spans="1:8" x14ac:dyDescent="0.25">
      <c r="A47" s="73">
        <v>41</v>
      </c>
      <c r="B47" s="77" t="s">
        <v>164</v>
      </c>
      <c r="C47" s="48">
        <v>223.31036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</row>
    <row r="48" spans="1:8" x14ac:dyDescent="0.25">
      <c r="A48" s="73">
        <v>42</v>
      </c>
      <c r="B48" s="77" t="s">
        <v>165</v>
      </c>
      <c r="C48" s="48">
        <v>190.80199999999999</v>
      </c>
      <c r="D48" s="48">
        <v>0</v>
      </c>
      <c r="E48" s="48">
        <v>0</v>
      </c>
      <c r="F48" s="48">
        <v>24.195</v>
      </c>
      <c r="G48" s="48">
        <v>0</v>
      </c>
      <c r="H48" s="48">
        <v>0</v>
      </c>
    </row>
    <row r="49" spans="1:8" x14ac:dyDescent="0.25">
      <c r="A49" s="73">
        <v>43</v>
      </c>
      <c r="B49" s="77" t="s">
        <v>166</v>
      </c>
      <c r="C49" s="48">
        <v>925.56343000000004</v>
      </c>
      <c r="D49" s="48">
        <v>0</v>
      </c>
      <c r="E49" s="48">
        <v>0</v>
      </c>
      <c r="F49" s="48">
        <v>112.10463999999999</v>
      </c>
      <c r="G49" s="48">
        <v>0</v>
      </c>
      <c r="H49" s="48">
        <v>0</v>
      </c>
    </row>
    <row r="50" spans="1:8" x14ac:dyDescent="0.25">
      <c r="A50" s="73">
        <v>44</v>
      </c>
      <c r="B50" s="77" t="s">
        <v>167</v>
      </c>
      <c r="C50" s="48">
        <v>73.421779999999998</v>
      </c>
      <c r="D50" s="48">
        <v>0</v>
      </c>
      <c r="E50" s="48">
        <v>0</v>
      </c>
      <c r="F50" s="48">
        <v>67.308310000000006</v>
      </c>
      <c r="G50" s="48">
        <v>0</v>
      </c>
      <c r="H50" s="48">
        <v>0</v>
      </c>
    </row>
    <row r="51" spans="1:8" x14ac:dyDescent="0.25">
      <c r="A51" s="73">
        <v>45</v>
      </c>
      <c r="B51" s="77" t="s">
        <v>168</v>
      </c>
      <c r="C51" s="48">
        <v>266.62503000000004</v>
      </c>
      <c r="D51" s="48">
        <v>0</v>
      </c>
      <c r="E51" s="48">
        <v>0</v>
      </c>
      <c r="F51" s="48">
        <v>61.301499999999997</v>
      </c>
      <c r="G51" s="48">
        <v>0</v>
      </c>
      <c r="H51" s="48">
        <v>0</v>
      </c>
    </row>
    <row r="52" spans="1:8" x14ac:dyDescent="0.25">
      <c r="A52" s="73">
        <v>46</v>
      </c>
      <c r="B52" s="77" t="s">
        <v>169</v>
      </c>
      <c r="C52" s="48">
        <v>92.031989999999993</v>
      </c>
      <c r="D52" s="48">
        <v>0</v>
      </c>
      <c r="E52" s="48">
        <v>0</v>
      </c>
      <c r="F52" s="48">
        <v>64.551640000000006</v>
      </c>
      <c r="G52" s="48">
        <v>0</v>
      </c>
      <c r="H52" s="48">
        <v>0</v>
      </c>
    </row>
    <row r="53" spans="1:8" x14ac:dyDescent="0.25">
      <c r="A53" s="73">
        <v>47</v>
      </c>
      <c r="B53" s="77" t="s">
        <v>170</v>
      </c>
      <c r="C53" s="48">
        <v>45.241999999999997</v>
      </c>
      <c r="D53" s="48">
        <v>0</v>
      </c>
      <c r="E53" s="48">
        <v>0</v>
      </c>
      <c r="F53" s="48">
        <v>362.69</v>
      </c>
      <c r="G53" s="48">
        <v>0</v>
      </c>
      <c r="H53" s="48">
        <v>0</v>
      </c>
    </row>
    <row r="54" spans="1:8" x14ac:dyDescent="0.25">
      <c r="A54" s="73">
        <v>48</v>
      </c>
      <c r="B54" s="77" t="s">
        <v>171</v>
      </c>
      <c r="C54" s="48">
        <v>1178.78181</v>
      </c>
      <c r="D54" s="48">
        <v>0</v>
      </c>
      <c r="E54" s="48">
        <v>0</v>
      </c>
      <c r="F54" s="48">
        <v>471.87009999999998</v>
      </c>
      <c r="G54" s="48">
        <v>0</v>
      </c>
      <c r="H54" s="48">
        <v>0</v>
      </c>
    </row>
    <row r="55" spans="1:8" x14ac:dyDescent="0.25">
      <c r="A55" s="73">
        <v>49</v>
      </c>
      <c r="B55" s="77" t="s">
        <v>172</v>
      </c>
      <c r="C55" s="48">
        <v>445.12691000000001</v>
      </c>
      <c r="D55" s="48">
        <v>0</v>
      </c>
      <c r="E55" s="48">
        <v>0</v>
      </c>
      <c r="F55" s="48">
        <v>7.0090000000000003</v>
      </c>
      <c r="G55" s="48">
        <v>0</v>
      </c>
      <c r="H55" s="48">
        <v>0</v>
      </c>
    </row>
    <row r="56" spans="1:8" x14ac:dyDescent="0.25">
      <c r="A56" s="73">
        <v>50</v>
      </c>
      <c r="B56" s="77" t="s">
        <v>173</v>
      </c>
      <c r="C56" s="48">
        <v>203.42434</v>
      </c>
      <c r="D56" s="48">
        <v>0</v>
      </c>
      <c r="E56" s="48">
        <v>0</v>
      </c>
      <c r="F56" s="48">
        <v>40.917819999999999</v>
      </c>
      <c r="G56" s="48">
        <v>0</v>
      </c>
      <c r="H56" s="48">
        <v>0</v>
      </c>
    </row>
    <row r="57" spans="1:8" x14ac:dyDescent="0.25">
      <c r="A57" s="73">
        <v>51</v>
      </c>
      <c r="B57" s="77" t="s">
        <v>174</v>
      </c>
      <c r="C57" s="48">
        <v>236.08058</v>
      </c>
      <c r="D57" s="48">
        <v>0</v>
      </c>
      <c r="E57" s="48">
        <v>0</v>
      </c>
      <c r="F57" s="48">
        <v>93.673379999999995</v>
      </c>
      <c r="G57" s="48">
        <v>0</v>
      </c>
      <c r="H57" s="48">
        <v>0</v>
      </c>
    </row>
    <row r="58" spans="1:8" x14ac:dyDescent="0.25">
      <c r="A58" s="73">
        <v>52</v>
      </c>
      <c r="B58" s="77" t="s">
        <v>175</v>
      </c>
      <c r="C58" s="48">
        <v>725.84209999999996</v>
      </c>
      <c r="D58" s="48">
        <v>0</v>
      </c>
      <c r="E58" s="48">
        <v>0</v>
      </c>
      <c r="F58" s="48">
        <v>28.559150000000002</v>
      </c>
      <c r="G58" s="48">
        <v>0</v>
      </c>
      <c r="H58" s="48">
        <v>0</v>
      </c>
    </row>
    <row r="59" spans="1:8" x14ac:dyDescent="0.25">
      <c r="A59" s="73">
        <v>53</v>
      </c>
      <c r="B59" s="77" t="s">
        <v>176</v>
      </c>
      <c r="C59" s="48">
        <v>166.09926000000002</v>
      </c>
      <c r="D59" s="48">
        <v>0</v>
      </c>
      <c r="E59" s="48">
        <v>0</v>
      </c>
      <c r="F59" s="48">
        <v>40.440040000000003</v>
      </c>
      <c r="G59" s="48">
        <v>0</v>
      </c>
      <c r="H59" s="48">
        <v>0</v>
      </c>
    </row>
    <row r="60" spans="1:8" x14ac:dyDescent="0.25">
      <c r="A60" s="73">
        <v>54</v>
      </c>
      <c r="B60" s="77" t="s">
        <v>177</v>
      </c>
      <c r="C60" s="48">
        <v>483.64219000000003</v>
      </c>
      <c r="D60" s="48">
        <v>0</v>
      </c>
      <c r="E60" s="48">
        <v>0</v>
      </c>
      <c r="F60" s="48">
        <v>62.411270000000002</v>
      </c>
      <c r="G60" s="48">
        <v>0</v>
      </c>
      <c r="H60" s="48">
        <v>0</v>
      </c>
    </row>
    <row r="61" spans="1:8" x14ac:dyDescent="0.25">
      <c r="A61" s="73">
        <v>55</v>
      </c>
      <c r="B61" s="77" t="s">
        <v>178</v>
      </c>
      <c r="C61" s="48">
        <v>600.20528999999999</v>
      </c>
      <c r="D61" s="48">
        <v>0</v>
      </c>
      <c r="E61" s="48">
        <v>0</v>
      </c>
      <c r="F61" s="48">
        <v>623.37895000000003</v>
      </c>
      <c r="G61" s="48">
        <v>0</v>
      </c>
      <c r="H61" s="48">
        <v>0</v>
      </c>
    </row>
    <row r="62" spans="1:8" x14ac:dyDescent="0.25">
      <c r="A62" s="73">
        <v>56</v>
      </c>
      <c r="B62" s="77" t="s">
        <v>179</v>
      </c>
      <c r="C62" s="48">
        <v>60.071629999999999</v>
      </c>
      <c r="D62" s="48">
        <v>0</v>
      </c>
      <c r="E62" s="48">
        <v>0</v>
      </c>
      <c r="F62" s="48">
        <v>340.75985000000003</v>
      </c>
      <c r="G62" s="48">
        <v>0</v>
      </c>
      <c r="H62" s="48">
        <v>0</v>
      </c>
    </row>
    <row r="63" spans="1:8" x14ac:dyDescent="0.25">
      <c r="A63" s="73">
        <v>57</v>
      </c>
      <c r="B63" s="77" t="s">
        <v>180</v>
      </c>
      <c r="C63" s="48">
        <v>270.44923</v>
      </c>
      <c r="D63" s="48">
        <v>0</v>
      </c>
      <c r="E63" s="48">
        <v>0</v>
      </c>
      <c r="F63" s="48">
        <v>9.08005</v>
      </c>
      <c r="G63" s="48">
        <v>0</v>
      </c>
      <c r="H63" s="48">
        <v>0</v>
      </c>
    </row>
    <row r="64" spans="1:8" x14ac:dyDescent="0.25">
      <c r="A64" s="73">
        <v>58</v>
      </c>
      <c r="B64" s="77" t="s">
        <v>181</v>
      </c>
      <c r="C64" s="48">
        <v>667.96132999999998</v>
      </c>
      <c r="D64" s="48">
        <v>0</v>
      </c>
      <c r="E64" s="48">
        <v>0</v>
      </c>
      <c r="F64" s="48">
        <v>63.463999999999999</v>
      </c>
      <c r="G64" s="48">
        <v>0</v>
      </c>
      <c r="H64" s="48">
        <v>0</v>
      </c>
    </row>
    <row r="65" spans="1:8" x14ac:dyDescent="0.25">
      <c r="A65" s="73">
        <v>59</v>
      </c>
      <c r="B65" s="77" t="s">
        <v>182</v>
      </c>
      <c r="C65" s="48">
        <v>60.217240000000004</v>
      </c>
      <c r="D65" s="48">
        <v>0</v>
      </c>
      <c r="E65" s="48">
        <v>0</v>
      </c>
      <c r="F65" s="48">
        <v>80.771590000000003</v>
      </c>
      <c r="G65" s="48">
        <v>0</v>
      </c>
      <c r="H65" s="48">
        <v>0</v>
      </c>
    </row>
    <row r="66" spans="1:8" x14ac:dyDescent="0.25">
      <c r="A66" s="73">
        <v>60</v>
      </c>
      <c r="B66" s="77" t="s">
        <v>183</v>
      </c>
      <c r="C66" s="48">
        <v>389.29131999999998</v>
      </c>
      <c r="D66" s="48">
        <v>0</v>
      </c>
      <c r="E66" s="48">
        <v>0</v>
      </c>
      <c r="F66" s="48">
        <v>16.745999999999999</v>
      </c>
      <c r="G66" s="48">
        <v>0</v>
      </c>
      <c r="H66" s="48">
        <v>0</v>
      </c>
    </row>
    <row r="67" spans="1:8" x14ac:dyDescent="0.25">
      <c r="A67" s="73">
        <v>61</v>
      </c>
      <c r="B67" s="77" t="s">
        <v>184</v>
      </c>
      <c r="C67" s="48">
        <v>206.77609000000001</v>
      </c>
      <c r="D67" s="48">
        <v>0</v>
      </c>
      <c r="E67" s="48">
        <v>0</v>
      </c>
      <c r="F67" s="48">
        <v>100.24311</v>
      </c>
      <c r="G67" s="48">
        <v>0</v>
      </c>
      <c r="H67" s="48">
        <v>0</v>
      </c>
    </row>
    <row r="68" spans="1:8" x14ac:dyDescent="0.25">
      <c r="A68" s="73">
        <v>62</v>
      </c>
      <c r="B68" s="77" t="s">
        <v>185</v>
      </c>
      <c r="C68" s="48">
        <v>1.4510999999999998</v>
      </c>
      <c r="D68" s="48">
        <v>0</v>
      </c>
      <c r="E68" s="48">
        <v>0</v>
      </c>
      <c r="F68" s="48">
        <v>34.318750000000001</v>
      </c>
      <c r="G68" s="48">
        <v>0</v>
      </c>
      <c r="H68" s="48">
        <v>0</v>
      </c>
    </row>
    <row r="69" spans="1:8" x14ac:dyDescent="0.25">
      <c r="A69" s="73">
        <v>63</v>
      </c>
      <c r="B69" s="77" t="s">
        <v>186</v>
      </c>
      <c r="C69" s="48">
        <v>1.1347400000000001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</row>
    <row r="70" spans="1:8" x14ac:dyDescent="0.25">
      <c r="A70" s="73">
        <v>64</v>
      </c>
      <c r="B70" s="77" t="s">
        <v>187</v>
      </c>
      <c r="C70" s="48">
        <v>4.4646400000000002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</row>
    <row r="71" spans="1:8" x14ac:dyDescent="0.25">
      <c r="A71" s="73">
        <v>65</v>
      </c>
      <c r="B71" s="77" t="s">
        <v>188</v>
      </c>
      <c r="C71" s="48">
        <v>0</v>
      </c>
      <c r="D71" s="48">
        <v>0</v>
      </c>
      <c r="E71" s="48">
        <v>0</v>
      </c>
      <c r="F71" s="48">
        <v>34.6843</v>
      </c>
      <c r="G71" s="48">
        <v>0</v>
      </c>
      <c r="H71" s="48">
        <v>0</v>
      </c>
    </row>
    <row r="72" spans="1:8" x14ac:dyDescent="0.25">
      <c r="A72" s="73">
        <v>66</v>
      </c>
      <c r="B72" s="77" t="s">
        <v>189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</row>
    <row r="73" spans="1:8" x14ac:dyDescent="0.25">
      <c r="A73" s="73">
        <v>67</v>
      </c>
      <c r="B73" s="77" t="s">
        <v>190</v>
      </c>
      <c r="C73" s="48">
        <v>47.486580000000004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</row>
    <row r="74" spans="1:8" x14ac:dyDescent="0.25">
      <c r="A74" s="73">
        <v>68</v>
      </c>
      <c r="B74" s="77" t="s">
        <v>191</v>
      </c>
      <c r="C74" s="48">
        <v>0</v>
      </c>
      <c r="D74" s="48">
        <v>0</v>
      </c>
      <c r="E74" s="48">
        <v>0</v>
      </c>
      <c r="F74" s="48">
        <v>1.4444399999999999</v>
      </c>
      <c r="G74" s="48">
        <v>0</v>
      </c>
      <c r="H74" s="48">
        <v>0</v>
      </c>
    </row>
    <row r="75" spans="1:8" x14ac:dyDescent="0.25">
      <c r="A75" s="73">
        <v>69</v>
      </c>
      <c r="B75" s="77" t="s">
        <v>192</v>
      </c>
      <c r="C75" s="48">
        <v>0</v>
      </c>
      <c r="D75" s="48">
        <v>0</v>
      </c>
      <c r="E75" s="48">
        <v>0</v>
      </c>
      <c r="F75" s="48">
        <v>21.64507</v>
      </c>
      <c r="G75" s="48">
        <v>0</v>
      </c>
      <c r="H75" s="48">
        <v>0</v>
      </c>
    </row>
    <row r="76" spans="1:8" x14ac:dyDescent="0.25">
      <c r="A76" s="73">
        <v>70</v>
      </c>
      <c r="B76" s="77" t="s">
        <v>193</v>
      </c>
      <c r="C76" s="48">
        <v>38.984789999999997</v>
      </c>
      <c r="D76" s="48">
        <v>0</v>
      </c>
      <c r="E76" s="48">
        <v>0</v>
      </c>
      <c r="F76" s="48">
        <v>18.151219999999999</v>
      </c>
      <c r="G76" s="48">
        <v>0</v>
      </c>
      <c r="H76" s="48">
        <v>0</v>
      </c>
    </row>
    <row r="77" spans="1:8" ht="30" x14ac:dyDescent="0.25">
      <c r="A77" s="73">
        <v>71</v>
      </c>
      <c r="B77" s="61" t="s">
        <v>79</v>
      </c>
      <c r="C77" s="48">
        <v>33.756</v>
      </c>
      <c r="D77" s="48">
        <v>0</v>
      </c>
      <c r="E77" s="48">
        <v>0</v>
      </c>
      <c r="F77" s="48">
        <v>526.31600000000003</v>
      </c>
      <c r="G77" s="48">
        <v>0</v>
      </c>
      <c r="H77" s="48">
        <v>0</v>
      </c>
    </row>
    <row r="78" spans="1:8" ht="30" x14ac:dyDescent="0.25">
      <c r="A78" s="73">
        <v>72</v>
      </c>
      <c r="B78" s="61" t="s">
        <v>80</v>
      </c>
      <c r="C78" s="48">
        <v>0</v>
      </c>
      <c r="D78" s="48">
        <v>0</v>
      </c>
      <c r="E78" s="48">
        <v>0</v>
      </c>
      <c r="F78" s="48">
        <v>34.128</v>
      </c>
      <c r="G78" s="48">
        <v>0</v>
      </c>
      <c r="H78" s="48">
        <v>0</v>
      </c>
    </row>
    <row r="79" spans="1:8" ht="30" x14ac:dyDescent="0.25">
      <c r="A79" s="73">
        <v>73</v>
      </c>
      <c r="B79" s="61" t="s">
        <v>81</v>
      </c>
      <c r="C79" s="48">
        <v>16.957999999999998</v>
      </c>
      <c r="D79" s="48">
        <v>0</v>
      </c>
      <c r="E79" s="48">
        <v>0</v>
      </c>
      <c r="F79" s="48">
        <v>18.103999999999999</v>
      </c>
      <c r="G79" s="48">
        <v>0</v>
      </c>
      <c r="H79" s="48">
        <v>0</v>
      </c>
    </row>
    <row r="80" spans="1:8" ht="30" x14ac:dyDescent="0.25">
      <c r="A80" s="73">
        <v>74</v>
      </c>
      <c r="B80" s="61" t="s">
        <v>82</v>
      </c>
      <c r="C80" s="48">
        <v>0</v>
      </c>
      <c r="D80" s="48">
        <v>0</v>
      </c>
      <c r="E80" s="48">
        <v>0</v>
      </c>
      <c r="F80" s="48">
        <v>25.300999999999998</v>
      </c>
      <c r="G80" s="48">
        <v>0</v>
      </c>
      <c r="H80" s="48">
        <v>0</v>
      </c>
    </row>
    <row r="81" spans="1:8" ht="30" x14ac:dyDescent="0.25">
      <c r="A81" s="73">
        <v>75</v>
      </c>
      <c r="B81" s="61" t="s">
        <v>83</v>
      </c>
      <c r="C81" s="48">
        <v>180.774</v>
      </c>
      <c r="D81" s="48">
        <v>0</v>
      </c>
      <c r="E81" s="48">
        <v>0</v>
      </c>
      <c r="F81" s="48">
        <v>9.3290000000000006</v>
      </c>
      <c r="G81" s="48">
        <v>0</v>
      </c>
      <c r="H81" s="48">
        <v>0</v>
      </c>
    </row>
    <row r="82" spans="1:8" ht="30" x14ac:dyDescent="0.25">
      <c r="A82" s="73">
        <v>76</v>
      </c>
      <c r="B82" s="61" t="s">
        <v>84</v>
      </c>
      <c r="C82" s="48">
        <v>0</v>
      </c>
      <c r="D82" s="48">
        <v>0</v>
      </c>
      <c r="E82" s="48">
        <v>0</v>
      </c>
      <c r="F82" s="48">
        <v>39.765999999999998</v>
      </c>
      <c r="G82" s="48">
        <v>0</v>
      </c>
      <c r="H82" s="48">
        <v>0</v>
      </c>
    </row>
    <row r="83" spans="1:8" ht="45" x14ac:dyDescent="0.25">
      <c r="A83" s="73">
        <v>77</v>
      </c>
      <c r="B83" s="61" t="s">
        <v>85</v>
      </c>
      <c r="C83" s="48">
        <v>2.496</v>
      </c>
      <c r="D83" s="48">
        <v>0</v>
      </c>
      <c r="E83" s="48">
        <v>0</v>
      </c>
      <c r="F83" s="48">
        <v>0.64400000000000002</v>
      </c>
      <c r="G83" s="48">
        <v>0</v>
      </c>
      <c r="H83" s="48">
        <v>0</v>
      </c>
    </row>
    <row r="84" spans="1:8" ht="30" x14ac:dyDescent="0.25">
      <c r="A84" s="73">
        <v>78</v>
      </c>
      <c r="B84" s="61" t="s">
        <v>94</v>
      </c>
      <c r="C84" s="48">
        <v>0</v>
      </c>
      <c r="D84" s="48">
        <v>0</v>
      </c>
      <c r="E84" s="48">
        <v>0</v>
      </c>
      <c r="F84" s="48">
        <v>44.344999999999999</v>
      </c>
      <c r="G84" s="48">
        <v>0</v>
      </c>
      <c r="H84" s="48">
        <v>0</v>
      </c>
    </row>
    <row r="85" spans="1:8" ht="30" x14ac:dyDescent="0.25">
      <c r="A85" s="73">
        <v>79</v>
      </c>
      <c r="B85" s="61" t="s">
        <v>86</v>
      </c>
      <c r="C85" s="48">
        <v>310.47899999999998</v>
      </c>
      <c r="D85" s="48">
        <v>0</v>
      </c>
      <c r="E85" s="48">
        <v>0</v>
      </c>
      <c r="F85" s="48">
        <v>28.216000000000001</v>
      </c>
      <c r="G85" s="48">
        <v>0</v>
      </c>
      <c r="H85" s="48">
        <v>0</v>
      </c>
    </row>
    <row r="86" spans="1:8" ht="30" x14ac:dyDescent="0.25">
      <c r="A86" s="73">
        <v>80</v>
      </c>
      <c r="B86" s="61" t="s">
        <v>87</v>
      </c>
      <c r="C86" s="48">
        <v>0.18</v>
      </c>
      <c r="D86" s="48">
        <v>0</v>
      </c>
      <c r="E86" s="48">
        <v>0</v>
      </c>
      <c r="F86" s="48">
        <v>3.1429999999999998</v>
      </c>
      <c r="G86" s="48">
        <v>0</v>
      </c>
      <c r="H86" s="48">
        <v>0</v>
      </c>
    </row>
    <row r="87" spans="1:8" ht="30" x14ac:dyDescent="0.25">
      <c r="A87" s="73">
        <v>81</v>
      </c>
      <c r="B87" s="61" t="s">
        <v>88</v>
      </c>
      <c r="C87" s="48">
        <v>0</v>
      </c>
      <c r="D87" s="48">
        <v>0</v>
      </c>
      <c r="E87" s="48">
        <v>0</v>
      </c>
      <c r="F87" s="48">
        <v>14.272</v>
      </c>
      <c r="G87" s="48">
        <v>0</v>
      </c>
      <c r="H87" s="48">
        <v>0</v>
      </c>
    </row>
    <row r="88" spans="1:8" ht="30" x14ac:dyDescent="0.25">
      <c r="A88" s="73">
        <v>82</v>
      </c>
      <c r="B88" s="61" t="s">
        <v>89</v>
      </c>
      <c r="C88" s="48">
        <v>0</v>
      </c>
      <c r="D88" s="48">
        <v>0</v>
      </c>
      <c r="E88" s="48">
        <v>0</v>
      </c>
      <c r="F88" s="48">
        <v>57.914000000000001</v>
      </c>
      <c r="G88" s="48">
        <v>0</v>
      </c>
      <c r="H88" s="48">
        <v>0</v>
      </c>
    </row>
    <row r="89" spans="1:8" ht="30" x14ac:dyDescent="0.25">
      <c r="A89" s="73">
        <v>83</v>
      </c>
      <c r="B89" s="61" t="s">
        <v>103</v>
      </c>
      <c r="C89" s="48">
        <v>0</v>
      </c>
      <c r="D89" s="48">
        <v>0</v>
      </c>
      <c r="E89" s="48">
        <v>0</v>
      </c>
      <c r="F89" s="48">
        <v>5.5220000000000002</v>
      </c>
      <c r="G89" s="48">
        <v>0</v>
      </c>
      <c r="H89" s="48">
        <v>0</v>
      </c>
    </row>
    <row r="90" spans="1:8" ht="45" x14ac:dyDescent="0.25">
      <c r="A90" s="73">
        <v>84</v>
      </c>
      <c r="B90" s="61" t="s">
        <v>90</v>
      </c>
      <c r="C90" s="48">
        <v>1.579</v>
      </c>
      <c r="D90" s="48">
        <v>0</v>
      </c>
      <c r="E90" s="48">
        <v>0</v>
      </c>
      <c r="F90" s="48">
        <v>83.468999999999994</v>
      </c>
      <c r="G90" s="48">
        <v>0</v>
      </c>
      <c r="H90" s="48">
        <v>0</v>
      </c>
    </row>
    <row r="91" spans="1:8" ht="45" x14ac:dyDescent="0.25">
      <c r="A91" s="73">
        <v>85</v>
      </c>
      <c r="B91" s="61" t="s">
        <v>91</v>
      </c>
      <c r="C91" s="48">
        <v>7.9000000000000001E-2</v>
      </c>
      <c r="D91" s="48">
        <v>0</v>
      </c>
      <c r="E91" s="48">
        <v>0</v>
      </c>
      <c r="F91" s="48">
        <v>9.1280000000000001</v>
      </c>
      <c r="G91" s="48">
        <v>0</v>
      </c>
      <c r="H91" s="48">
        <v>0</v>
      </c>
    </row>
    <row r="92" spans="1:8" ht="45" x14ac:dyDescent="0.25">
      <c r="A92" s="73">
        <v>86</v>
      </c>
      <c r="B92" s="61" t="s">
        <v>92</v>
      </c>
      <c r="C92" s="48">
        <v>22.806999999999999</v>
      </c>
      <c r="D92" s="48">
        <v>0</v>
      </c>
      <c r="E92" s="48">
        <v>0</v>
      </c>
      <c r="F92" s="48">
        <v>80.885000000000005</v>
      </c>
      <c r="G92" s="48">
        <v>0</v>
      </c>
      <c r="H92" s="48">
        <v>0</v>
      </c>
    </row>
    <row r="93" spans="1:8" ht="45" x14ac:dyDescent="0.25">
      <c r="A93" s="73">
        <v>87</v>
      </c>
      <c r="B93" s="61" t="s">
        <v>93</v>
      </c>
      <c r="C93" s="48">
        <v>0</v>
      </c>
      <c r="D93" s="48">
        <v>0</v>
      </c>
      <c r="E93" s="48">
        <v>0</v>
      </c>
      <c r="F93" s="48">
        <v>11.616</v>
      </c>
      <c r="G93" s="48">
        <v>0</v>
      </c>
      <c r="H93" s="48">
        <v>0</v>
      </c>
    </row>
    <row r="94" spans="1:8" x14ac:dyDescent="0.25">
      <c r="A94" s="73">
        <v>88</v>
      </c>
      <c r="B94" s="61" t="s">
        <v>96</v>
      </c>
      <c r="C94" s="48">
        <v>50.113</v>
      </c>
      <c r="D94" s="48">
        <v>0</v>
      </c>
      <c r="E94" s="48">
        <v>0</v>
      </c>
      <c r="F94" s="48">
        <v>74.41</v>
      </c>
      <c r="G94" s="48">
        <v>0</v>
      </c>
      <c r="H94" s="48">
        <v>0</v>
      </c>
    </row>
    <row r="95" spans="1:8" x14ac:dyDescent="0.25">
      <c r="A95" s="31"/>
      <c r="B95" s="62" t="s">
        <v>18</v>
      </c>
      <c r="C95" s="63">
        <f>SUM(C7:C94)</f>
        <v>25352.512233999994</v>
      </c>
      <c r="D95" s="63" t="s">
        <v>95</v>
      </c>
      <c r="E95" s="64" t="s">
        <v>95</v>
      </c>
      <c r="F95" s="63">
        <f>SUM(F7:F94)</f>
        <v>15100.431269999999</v>
      </c>
      <c r="G95" s="64" t="s">
        <v>95</v>
      </c>
      <c r="H95" s="64" t="s">
        <v>95</v>
      </c>
    </row>
  </sheetData>
  <mergeCells count="10">
    <mergeCell ref="A4:A6"/>
    <mergeCell ref="B4:B6"/>
    <mergeCell ref="C4:E4"/>
    <mergeCell ref="F4:G4"/>
    <mergeCell ref="A2:H2"/>
    <mergeCell ref="H4:H6"/>
    <mergeCell ref="C5:C6"/>
    <mergeCell ref="D5:E5"/>
    <mergeCell ref="F5:F6"/>
    <mergeCell ref="G5:G6"/>
  </mergeCells>
  <printOptions horizontalCentered="1"/>
  <pageMargins left="0.15748031496062992" right="0.15748031496062992" top="0.27559055118110237" bottom="0.27559055118110237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Форма 1</vt:lpstr>
      <vt:lpstr>Форма 2 </vt:lpstr>
      <vt:lpstr>Форма 3</vt:lpstr>
      <vt:lpstr>Форма 4</vt:lpstr>
      <vt:lpstr>Форма 5</vt:lpstr>
      <vt:lpstr>Форма 6</vt:lpstr>
      <vt:lpstr>'Форма 1'!Заголовки_для_печати</vt:lpstr>
      <vt:lpstr>'Форма 2 '!Заголовки_для_печати</vt:lpstr>
      <vt:lpstr>'Форма 3'!Заголовки_для_печати</vt:lpstr>
      <vt:lpstr>'Форма 4'!Заголовки_для_печати</vt:lpstr>
      <vt:lpstr>'Форма 5'!Заголовки_для_печати</vt:lpstr>
      <vt:lpstr>'Форма 6'!Заголовки_для_печати</vt:lpstr>
      <vt:lpstr>'Форма 1'!Область_печати</vt:lpstr>
      <vt:lpstr>'Форма 2 '!Область_печати</vt:lpstr>
      <vt:lpstr>'Форма 3'!Область_печати</vt:lpstr>
      <vt:lpstr>'Форма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Канапина</dc:creator>
  <cp:lastModifiedBy>Тельпухова Оксана</cp:lastModifiedBy>
  <cp:lastPrinted>2022-05-27T04:05:45Z</cp:lastPrinted>
  <dcterms:created xsi:type="dcterms:W3CDTF">2019-05-24T04:37:13Z</dcterms:created>
  <dcterms:modified xsi:type="dcterms:W3CDTF">2022-06-02T03:01:35Z</dcterms:modified>
</cp:coreProperties>
</file>