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405"/>
  </bookViews>
  <sheets>
    <sheet name="форма 2п (2)" sheetId="1" r:id="rId1"/>
  </sheets>
  <externalReferences>
    <externalReference r:id="rId2"/>
  </externalReferences>
  <definedNames>
    <definedName name="_xlnm.Print_Titles" localSheetId="0">'форма 2п (2)'!$6:$8</definedName>
    <definedName name="_xlnm.Print_Area" localSheetId="0">'форма 2п (2)'!$A$1:$P$250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F32"/>
  <c r="F108"/>
  <c r="F120"/>
  <c r="F121"/>
  <c r="F164"/>
  <c r="F172"/>
  <c r="F178"/>
  <c r="F192"/>
  <c r="F194"/>
  <c r="F198"/>
  <c r="F209"/>
  <c r="F212"/>
  <c r="F218"/>
  <c r="F222"/>
  <c r="F226"/>
  <c r="F230"/>
  <c r="F249"/>
  <c r="F211" l="1"/>
  <c r="F220"/>
  <c r="M230"/>
  <c r="N250" l="1"/>
  <c r="O250" s="1"/>
  <c r="K250"/>
  <c r="M250" s="1"/>
  <c r="J250"/>
  <c r="I250"/>
  <c r="H249"/>
  <c r="E249"/>
  <c r="D249"/>
  <c r="J248"/>
  <c r="I248"/>
  <c r="N246"/>
  <c r="P246" s="1"/>
  <c r="P249" s="1"/>
  <c r="K246"/>
  <c r="L246" s="1"/>
  <c r="L249" s="1"/>
  <c r="J246"/>
  <c r="J249" s="1"/>
  <c r="I246"/>
  <c r="I249" s="1"/>
  <c r="G246"/>
  <c r="G249" s="1"/>
  <c r="N233"/>
  <c r="O233" s="1"/>
  <c r="M233"/>
  <c r="L233"/>
  <c r="J233"/>
  <c r="I233"/>
  <c r="P230"/>
  <c r="N230"/>
  <c r="N226" s="1"/>
  <c r="K230"/>
  <c r="K226" s="1"/>
  <c r="J230"/>
  <c r="J226" s="1"/>
  <c r="J225" s="1"/>
  <c r="H230"/>
  <c r="G230"/>
  <c r="E230"/>
  <c r="P226"/>
  <c r="M226"/>
  <c r="G226"/>
  <c r="E226"/>
  <c r="I225"/>
  <c r="L225" s="1"/>
  <c r="O225" s="1"/>
  <c r="H225"/>
  <c r="G223"/>
  <c r="G221" s="1"/>
  <c r="E222"/>
  <c r="D222"/>
  <c r="E220"/>
  <c r="D220"/>
  <c r="G219"/>
  <c r="E218"/>
  <c r="D218"/>
  <c r="D216"/>
  <c r="D215"/>
  <c r="E214"/>
  <c r="E213"/>
  <c r="G212"/>
  <c r="G214" s="1"/>
  <c r="G216" s="1"/>
  <c r="F216" s="1"/>
  <c r="F214" s="1"/>
  <c r="E211"/>
  <c r="D211"/>
  <c r="E209"/>
  <c r="D209"/>
  <c r="P201"/>
  <c r="M201"/>
  <c r="J201"/>
  <c r="E200"/>
  <c r="J199"/>
  <c r="I199"/>
  <c r="L199" s="1"/>
  <c r="O199" s="1"/>
  <c r="H199"/>
  <c r="K199" s="1"/>
  <c r="N199" s="1"/>
  <c r="G198"/>
  <c r="E198"/>
  <c r="D198"/>
  <c r="G194"/>
  <c r="E194"/>
  <c r="D194"/>
  <c r="G192"/>
  <c r="E192"/>
  <c r="D192"/>
  <c r="P190"/>
  <c r="M190"/>
  <c r="J190"/>
  <c r="E189"/>
  <c r="G188"/>
  <c r="I188" s="1"/>
  <c r="L188" s="1"/>
  <c r="O188" s="1"/>
  <c r="P187"/>
  <c r="M187"/>
  <c r="J187"/>
  <c r="J185" s="1"/>
  <c r="E186"/>
  <c r="I185"/>
  <c r="I194" s="1"/>
  <c r="H185"/>
  <c r="E183"/>
  <c r="P178"/>
  <c r="O178"/>
  <c r="N178"/>
  <c r="M178"/>
  <c r="L178"/>
  <c r="K178"/>
  <c r="J178"/>
  <c r="I178"/>
  <c r="H178"/>
  <c r="G178"/>
  <c r="E178"/>
  <c r="E174" s="1"/>
  <c r="E172" s="1"/>
  <c r="D172"/>
  <c r="P171"/>
  <c r="M171"/>
  <c r="J171"/>
  <c r="E170"/>
  <c r="G169"/>
  <c r="P168"/>
  <c r="M168"/>
  <c r="J168"/>
  <c r="G166"/>
  <c r="H166" s="1"/>
  <c r="K166" s="1"/>
  <c r="N166" s="1"/>
  <c r="G164"/>
  <c r="E164"/>
  <c r="D164"/>
  <c r="P162"/>
  <c r="M162"/>
  <c r="J162"/>
  <c r="E161"/>
  <c r="G160"/>
  <c r="I160" s="1"/>
  <c r="L160" s="1"/>
  <c r="O160" s="1"/>
  <c r="P121"/>
  <c r="O121"/>
  <c r="N121"/>
  <c r="M121"/>
  <c r="L121"/>
  <c r="K121"/>
  <c r="J121"/>
  <c r="I121"/>
  <c r="H121"/>
  <c r="G121"/>
  <c r="E121"/>
  <c r="D121"/>
  <c r="P120"/>
  <c r="O120"/>
  <c r="N120"/>
  <c r="M120"/>
  <c r="L120"/>
  <c r="K120"/>
  <c r="J120"/>
  <c r="I120"/>
  <c r="H120"/>
  <c r="G120"/>
  <c r="E120"/>
  <c r="D120"/>
  <c r="P117"/>
  <c r="M117"/>
  <c r="J117"/>
  <c r="E116"/>
  <c r="G115"/>
  <c r="I115" s="1"/>
  <c r="L115" s="1"/>
  <c r="O115" s="1"/>
  <c r="P114"/>
  <c r="M114"/>
  <c r="J114"/>
  <c r="E113"/>
  <c r="G112"/>
  <c r="P110"/>
  <c r="M110"/>
  <c r="J110"/>
  <c r="E108"/>
  <c r="D108"/>
  <c r="E106"/>
  <c r="P105"/>
  <c r="M105"/>
  <c r="J105"/>
  <c r="G104"/>
  <c r="E102"/>
  <c r="P101"/>
  <c r="M101"/>
  <c r="J101"/>
  <c r="I100"/>
  <c r="L100" s="1"/>
  <c r="O100" s="1"/>
  <c r="G100"/>
  <c r="H100" s="1"/>
  <c r="K100" s="1"/>
  <c r="N100" s="1"/>
  <c r="P97"/>
  <c r="M97"/>
  <c r="J97"/>
  <c r="H96"/>
  <c r="K96" s="1"/>
  <c r="N96" s="1"/>
  <c r="G96"/>
  <c r="I96" s="1"/>
  <c r="L96" s="1"/>
  <c r="O96" s="1"/>
  <c r="P94"/>
  <c r="M94"/>
  <c r="J94"/>
  <c r="G93"/>
  <c r="P91"/>
  <c r="M91"/>
  <c r="J91"/>
  <c r="J90" s="1"/>
  <c r="G90"/>
  <c r="I90" s="1"/>
  <c r="L90" s="1"/>
  <c r="O90" s="1"/>
  <c r="P88"/>
  <c r="M88"/>
  <c r="J88"/>
  <c r="G87"/>
  <c r="H87" s="1"/>
  <c r="K87" s="1"/>
  <c r="N87" s="1"/>
  <c r="P85"/>
  <c r="M85"/>
  <c r="J85"/>
  <c r="G84"/>
  <c r="I84" s="1"/>
  <c r="L84" s="1"/>
  <c r="O84" s="1"/>
  <c r="P82"/>
  <c r="M82"/>
  <c r="J82"/>
  <c r="G81"/>
  <c r="P79"/>
  <c r="M79"/>
  <c r="J79"/>
  <c r="G78"/>
  <c r="I78" s="1"/>
  <c r="L78" s="1"/>
  <c r="O78" s="1"/>
  <c r="P76"/>
  <c r="M76"/>
  <c r="J76"/>
  <c r="I75"/>
  <c r="L75" s="1"/>
  <c r="O75" s="1"/>
  <c r="G75"/>
  <c r="H75" s="1"/>
  <c r="K75" s="1"/>
  <c r="N75" s="1"/>
  <c r="P73"/>
  <c r="M73"/>
  <c r="J73"/>
  <c r="G72"/>
  <c r="I72" s="1"/>
  <c r="L72" s="1"/>
  <c r="O72" s="1"/>
  <c r="P70"/>
  <c r="M70"/>
  <c r="J70"/>
  <c r="G69"/>
  <c r="P67"/>
  <c r="M67"/>
  <c r="J67"/>
  <c r="G66"/>
  <c r="I66" s="1"/>
  <c r="L66" s="1"/>
  <c r="O66" s="1"/>
  <c r="P64"/>
  <c r="M64"/>
  <c r="J64"/>
  <c r="G63"/>
  <c r="H63" s="1"/>
  <c r="K63" s="1"/>
  <c r="N63" s="1"/>
  <c r="P61"/>
  <c r="M61"/>
  <c r="J61"/>
  <c r="G60"/>
  <c r="P58"/>
  <c r="M58"/>
  <c r="J58"/>
  <c r="G57"/>
  <c r="J57" s="1"/>
  <c r="P55"/>
  <c r="M55"/>
  <c r="J55"/>
  <c r="G54"/>
  <c r="H54" s="1"/>
  <c r="K54" s="1"/>
  <c r="N54" s="1"/>
  <c r="P52"/>
  <c r="M52"/>
  <c r="J52"/>
  <c r="G51"/>
  <c r="P49"/>
  <c r="M49"/>
  <c r="J49"/>
  <c r="G48"/>
  <c r="J48" s="1"/>
  <c r="P46"/>
  <c r="M46"/>
  <c r="J46"/>
  <c r="G45"/>
  <c r="H45" s="1"/>
  <c r="K45" s="1"/>
  <c r="N45" s="1"/>
  <c r="P43"/>
  <c r="M43"/>
  <c r="J43"/>
  <c r="G42"/>
  <c r="H42" s="1"/>
  <c r="K42" s="1"/>
  <c r="N42" s="1"/>
  <c r="P40"/>
  <c r="M40"/>
  <c r="J40"/>
  <c r="G39"/>
  <c r="P37"/>
  <c r="M37"/>
  <c r="J37"/>
  <c r="G36"/>
  <c r="P34"/>
  <c r="M34"/>
  <c r="J34"/>
  <c r="G33"/>
  <c r="H33" s="1"/>
  <c r="K33" s="1"/>
  <c r="N33" s="1"/>
  <c r="E32"/>
  <c r="P31"/>
  <c r="M31"/>
  <c r="J31"/>
  <c r="G30"/>
  <c r="I30" s="1"/>
  <c r="L30" s="1"/>
  <c r="O30" s="1"/>
  <c r="P29"/>
  <c r="P16" s="1"/>
  <c r="N29"/>
  <c r="N16" s="1"/>
  <c r="M29"/>
  <c r="M16" s="1"/>
  <c r="K29"/>
  <c r="K16" s="1"/>
  <c r="J29"/>
  <c r="J16" s="1"/>
  <c r="H29"/>
  <c r="H16" s="1"/>
  <c r="H14" s="1"/>
  <c r="P28"/>
  <c r="M28"/>
  <c r="J28"/>
  <c r="G27"/>
  <c r="J27" s="1"/>
  <c r="D27"/>
  <c r="D11" s="1"/>
  <c r="P24"/>
  <c r="M24"/>
  <c r="J24"/>
  <c r="G23"/>
  <c r="I23" s="1"/>
  <c r="L23" s="1"/>
  <c r="O23" s="1"/>
  <c r="P21"/>
  <c r="M21"/>
  <c r="J21"/>
  <c r="G20"/>
  <c r="P18"/>
  <c r="M18"/>
  <c r="J18"/>
  <c r="G17"/>
  <c r="O16"/>
  <c r="L16"/>
  <c r="I16"/>
  <c r="I14" s="1"/>
  <c r="G16"/>
  <c r="E16"/>
  <c r="P15"/>
  <c r="M15"/>
  <c r="J15"/>
  <c r="E11"/>
  <c r="K14" l="1"/>
  <c r="J14"/>
  <c r="J112"/>
  <c r="M112" s="1"/>
  <c r="P112" s="1"/>
  <c r="L14"/>
  <c r="J42"/>
  <c r="M42" s="1"/>
  <c r="P42" s="1"/>
  <c r="M199"/>
  <c r="P199" s="1"/>
  <c r="J30"/>
  <c r="M30" s="1"/>
  <c r="P30" s="1"/>
  <c r="G222"/>
  <c r="J17"/>
  <c r="M17" s="1"/>
  <c r="P17" s="1"/>
  <c r="M14"/>
  <c r="P14" s="1"/>
  <c r="H17"/>
  <c r="K17" s="1"/>
  <c r="N17" s="1"/>
  <c r="H30"/>
  <c r="K30" s="1"/>
  <c r="N30" s="1"/>
  <c r="I42"/>
  <c r="L42" s="1"/>
  <c r="O42" s="1"/>
  <c r="J72"/>
  <c r="M72" s="1"/>
  <c r="P72" s="1"/>
  <c r="M90"/>
  <c r="P90" s="1"/>
  <c r="E109"/>
  <c r="G218"/>
  <c r="I54"/>
  <c r="L54" s="1"/>
  <c r="O54" s="1"/>
  <c r="J78"/>
  <c r="M78" s="1"/>
  <c r="P78" s="1"/>
  <c r="J160"/>
  <c r="M160" s="1"/>
  <c r="P160" s="1"/>
  <c r="L250"/>
  <c r="J54"/>
  <c r="M57"/>
  <c r="P57" s="1"/>
  <c r="J166"/>
  <c r="M225"/>
  <c r="P225" s="1"/>
  <c r="M54"/>
  <c r="P54" s="1"/>
  <c r="H57"/>
  <c r="K57" s="1"/>
  <c r="N57" s="1"/>
  <c r="H66"/>
  <c r="K66" s="1"/>
  <c r="N66" s="1"/>
  <c r="L185"/>
  <c r="O185" s="1"/>
  <c r="H188"/>
  <c r="K188" s="1"/>
  <c r="N188" s="1"/>
  <c r="I192"/>
  <c r="I212"/>
  <c r="G213"/>
  <c r="G215" s="1"/>
  <c r="F215" s="1"/>
  <c r="F213" s="1"/>
  <c r="K225"/>
  <c r="N225" s="1"/>
  <c r="E29"/>
  <c r="E12" s="1"/>
  <c r="O14"/>
  <c r="J23"/>
  <c r="M23" s="1"/>
  <c r="P23" s="1"/>
  <c r="H27"/>
  <c r="K27" s="1"/>
  <c r="J36"/>
  <c r="M36" s="1"/>
  <c r="P36" s="1"/>
  <c r="I45"/>
  <c r="L45" s="1"/>
  <c r="O45" s="1"/>
  <c r="H48"/>
  <c r="K48" s="1"/>
  <c r="N48" s="1"/>
  <c r="I57"/>
  <c r="L57" s="1"/>
  <c r="O57" s="1"/>
  <c r="J60"/>
  <c r="M60" s="1"/>
  <c r="P60" s="1"/>
  <c r="I63"/>
  <c r="L63" s="1"/>
  <c r="O63" s="1"/>
  <c r="J66"/>
  <c r="H84"/>
  <c r="K84" s="1"/>
  <c r="N84" s="1"/>
  <c r="J96"/>
  <c r="M96" s="1"/>
  <c r="P96" s="1"/>
  <c r="H112"/>
  <c r="J115"/>
  <c r="M115" s="1"/>
  <c r="P115" s="1"/>
  <c r="J188"/>
  <c r="M188" s="1"/>
  <c r="P188" s="1"/>
  <c r="G11"/>
  <c r="G12" s="1"/>
  <c r="G208" s="1"/>
  <c r="I33"/>
  <c r="L33" s="1"/>
  <c r="O33" s="1"/>
  <c r="H36"/>
  <c r="K36" s="1"/>
  <c r="N36" s="1"/>
  <c r="H60"/>
  <c r="K60" s="1"/>
  <c r="N60" s="1"/>
  <c r="H72"/>
  <c r="K72" s="1"/>
  <c r="N72" s="1"/>
  <c r="H78"/>
  <c r="K78" s="1"/>
  <c r="N78" s="1"/>
  <c r="J84"/>
  <c r="M84" s="1"/>
  <c r="P84" s="1"/>
  <c r="I87"/>
  <c r="L87" s="1"/>
  <c r="O87" s="1"/>
  <c r="H90"/>
  <c r="K90" s="1"/>
  <c r="N90" s="1"/>
  <c r="G108"/>
  <c r="G109" s="1"/>
  <c r="J39"/>
  <c r="M39" s="1"/>
  <c r="P39" s="1"/>
  <c r="I39"/>
  <c r="L39" s="1"/>
  <c r="O39" s="1"/>
  <c r="H39"/>
  <c r="K39" s="1"/>
  <c r="N39" s="1"/>
  <c r="N14"/>
  <c r="K112"/>
  <c r="J20"/>
  <c r="M20" s="1"/>
  <c r="P20" s="1"/>
  <c r="I20"/>
  <c r="L20" s="1"/>
  <c r="O20" s="1"/>
  <c r="H20"/>
  <c r="K20" s="1"/>
  <c r="N20" s="1"/>
  <c r="M27"/>
  <c r="M48"/>
  <c r="P48" s="1"/>
  <c r="J104"/>
  <c r="M104" s="1"/>
  <c r="P104" s="1"/>
  <c r="I104"/>
  <c r="L104" s="1"/>
  <c r="O104" s="1"/>
  <c r="H104"/>
  <c r="J51"/>
  <c r="M51" s="1"/>
  <c r="P51" s="1"/>
  <c r="I51"/>
  <c r="L51" s="1"/>
  <c r="O51" s="1"/>
  <c r="H51"/>
  <c r="K51" s="1"/>
  <c r="N51" s="1"/>
  <c r="J81"/>
  <c r="M81" s="1"/>
  <c r="P81" s="1"/>
  <c r="I81"/>
  <c r="L81" s="1"/>
  <c r="O81" s="1"/>
  <c r="H81"/>
  <c r="K81" s="1"/>
  <c r="N81" s="1"/>
  <c r="J169"/>
  <c r="I169"/>
  <c r="H169"/>
  <c r="G172"/>
  <c r="I17"/>
  <c r="L17" s="1"/>
  <c r="O17" s="1"/>
  <c r="I27"/>
  <c r="J33"/>
  <c r="M33" s="1"/>
  <c r="P33" s="1"/>
  <c r="I36"/>
  <c r="L36" s="1"/>
  <c r="O36" s="1"/>
  <c r="J45"/>
  <c r="M45" s="1"/>
  <c r="P45" s="1"/>
  <c r="I48"/>
  <c r="L48" s="1"/>
  <c r="O48" s="1"/>
  <c r="I60"/>
  <c r="L60" s="1"/>
  <c r="O60" s="1"/>
  <c r="J93"/>
  <c r="M93" s="1"/>
  <c r="P93" s="1"/>
  <c r="I93"/>
  <c r="L93" s="1"/>
  <c r="O93" s="1"/>
  <c r="H93"/>
  <c r="K93" s="1"/>
  <c r="N93" s="1"/>
  <c r="H198"/>
  <c r="H192"/>
  <c r="K185"/>
  <c r="H194"/>
  <c r="H23"/>
  <c r="K23" s="1"/>
  <c r="N23" s="1"/>
  <c r="M66"/>
  <c r="P66" s="1"/>
  <c r="M166"/>
  <c r="P166" s="1"/>
  <c r="J69"/>
  <c r="M69" s="1"/>
  <c r="P69" s="1"/>
  <c r="I69"/>
  <c r="L69" s="1"/>
  <c r="O69" s="1"/>
  <c r="H69"/>
  <c r="K69" s="1"/>
  <c r="N69" s="1"/>
  <c r="J63"/>
  <c r="M63" s="1"/>
  <c r="P63" s="1"/>
  <c r="J75"/>
  <c r="M75" s="1"/>
  <c r="P75" s="1"/>
  <c r="J87"/>
  <c r="M87" s="1"/>
  <c r="P87" s="1"/>
  <c r="J100"/>
  <c r="M100" s="1"/>
  <c r="P100" s="1"/>
  <c r="I112"/>
  <c r="I166"/>
  <c r="L166" s="1"/>
  <c r="O166" s="1"/>
  <c r="H115"/>
  <c r="K115" s="1"/>
  <c r="N115" s="1"/>
  <c r="H160"/>
  <c r="K160" s="1"/>
  <c r="N160" s="1"/>
  <c r="L192"/>
  <c r="J198"/>
  <c r="J192"/>
  <c r="M185"/>
  <c r="J194"/>
  <c r="I198"/>
  <c r="M246"/>
  <c r="M249" s="1"/>
  <c r="N249"/>
  <c r="P233"/>
  <c r="O246"/>
  <c r="O249" s="1"/>
  <c r="P250"/>
  <c r="G220"/>
  <c r="K249"/>
  <c r="L198" l="1"/>
  <c r="L194"/>
  <c r="J108"/>
  <c r="M109" s="1"/>
  <c r="G207"/>
  <c r="G209" s="1"/>
  <c r="M108"/>
  <c r="I213"/>
  <c r="I215" s="1"/>
  <c r="H212"/>
  <c r="L212"/>
  <c r="J212"/>
  <c r="I211"/>
  <c r="I223" s="1"/>
  <c r="I221" s="1"/>
  <c r="I214"/>
  <c r="I216" s="1"/>
  <c r="M198"/>
  <c r="M194"/>
  <c r="P185"/>
  <c r="M192"/>
  <c r="G173"/>
  <c r="G174" s="1"/>
  <c r="H172"/>
  <c r="K169"/>
  <c r="P27"/>
  <c r="J11"/>
  <c r="J12" s="1"/>
  <c r="H208" s="1"/>
  <c r="P108"/>
  <c r="P109" s="1"/>
  <c r="L27"/>
  <c r="I11"/>
  <c r="I12" s="1"/>
  <c r="I208" s="1"/>
  <c r="I172"/>
  <c r="L169"/>
  <c r="H108"/>
  <c r="H109" s="1"/>
  <c r="O194"/>
  <c r="O198"/>
  <c r="O192"/>
  <c r="I108"/>
  <c r="I109" s="1"/>
  <c r="L112"/>
  <c r="N27"/>
  <c r="K104"/>
  <c r="N104" s="1"/>
  <c r="H11"/>
  <c r="H12" s="1"/>
  <c r="J109"/>
  <c r="K194"/>
  <c r="K198"/>
  <c r="K192"/>
  <c r="N185"/>
  <c r="M169"/>
  <c r="J172"/>
  <c r="M11"/>
  <c r="M12" s="1"/>
  <c r="N112"/>
  <c r="K108"/>
  <c r="H207" l="1"/>
  <c r="J208"/>
  <c r="N11"/>
  <c r="K208"/>
  <c r="J213"/>
  <c r="J211"/>
  <c r="J223" s="1"/>
  <c r="J221" s="1"/>
  <c r="J222" s="1"/>
  <c r="L213"/>
  <c r="L215" s="1"/>
  <c r="K212"/>
  <c r="L214"/>
  <c r="L216" s="1"/>
  <c r="M212"/>
  <c r="L211"/>
  <c r="L223" s="1"/>
  <c r="L221" s="1"/>
  <c r="L222" s="1"/>
  <c r="O212"/>
  <c r="H211"/>
  <c r="H221" s="1"/>
  <c r="H213"/>
  <c r="H215" s="1"/>
  <c r="K109"/>
  <c r="I219"/>
  <c r="I220" s="1"/>
  <c r="I222"/>
  <c r="I217"/>
  <c r="I218" s="1"/>
  <c r="I207"/>
  <c r="H209"/>
  <c r="H219"/>
  <c r="H220" s="1"/>
  <c r="H214" s="1"/>
  <c r="H216" s="1"/>
  <c r="M172"/>
  <c r="P169"/>
  <c r="P11"/>
  <c r="P12" s="1"/>
  <c r="O112"/>
  <c r="L108"/>
  <c r="L109" s="1"/>
  <c r="I173"/>
  <c r="I174" s="1"/>
  <c r="N169"/>
  <c r="K172"/>
  <c r="K11"/>
  <c r="K12" s="1"/>
  <c r="M208" s="1"/>
  <c r="P208" s="1"/>
  <c r="J173"/>
  <c r="J174" s="1"/>
  <c r="O27"/>
  <c r="L11"/>
  <c r="L12" s="1"/>
  <c r="L208" s="1"/>
  <c r="H173"/>
  <c r="H174" s="1"/>
  <c r="P198"/>
  <c r="P192"/>
  <c r="P194"/>
  <c r="N198"/>
  <c r="N192"/>
  <c r="N194"/>
  <c r="N12"/>
  <c r="L172"/>
  <c r="O169"/>
  <c r="N108"/>
  <c r="N109" s="1"/>
  <c r="L219" l="1"/>
  <c r="L220" s="1"/>
  <c r="L217"/>
  <c r="L218" s="1"/>
  <c r="N208"/>
  <c r="M213"/>
  <c r="M215" s="1"/>
  <c r="M211"/>
  <c r="J217"/>
  <c r="J218" s="1"/>
  <c r="J219"/>
  <c r="J220" s="1"/>
  <c r="J214" s="1"/>
  <c r="J216" s="1"/>
  <c r="H217"/>
  <c r="H218" s="1"/>
  <c r="H222"/>
  <c r="J215"/>
  <c r="O214"/>
  <c r="O216" s="1"/>
  <c r="P212"/>
  <c r="O213"/>
  <c r="O215" s="1"/>
  <c r="N212"/>
  <c r="O211"/>
  <c r="K211"/>
  <c r="K223" s="1"/>
  <c r="K221" s="1"/>
  <c r="K222" s="1"/>
  <c r="K213"/>
  <c r="K215" s="1"/>
  <c r="M219"/>
  <c r="M220" s="1"/>
  <c r="O172"/>
  <c r="O11"/>
  <c r="O12" s="1"/>
  <c r="O208" s="1"/>
  <c r="P172"/>
  <c r="M173"/>
  <c r="M174" s="1"/>
  <c r="N172"/>
  <c r="O108"/>
  <c r="O109" s="1"/>
  <c r="J207"/>
  <c r="I209"/>
  <c r="K173"/>
  <c r="K174" s="1"/>
  <c r="L173"/>
  <c r="L174" s="1"/>
  <c r="M214" l="1"/>
  <c r="M216" s="1"/>
  <c r="K217"/>
  <c r="K218" s="1"/>
  <c r="O223"/>
  <c r="O221" s="1"/>
  <c r="P213"/>
  <c r="P215" s="1"/>
  <c r="P211"/>
  <c r="M223"/>
  <c r="M221"/>
  <c r="N213"/>
  <c r="N215" s="1"/>
  <c r="N211"/>
  <c r="N223" s="1"/>
  <c r="N221" s="1"/>
  <c r="P219" s="1"/>
  <c r="P220" s="1"/>
  <c r="P173"/>
  <c r="P174"/>
  <c r="O173"/>
  <c r="O174" s="1"/>
  <c r="N173"/>
  <c r="N174" s="1"/>
  <c r="J209"/>
  <c r="K207"/>
  <c r="N217" l="1"/>
  <c r="N218" s="1"/>
  <c r="P214"/>
  <c r="P216" s="1"/>
  <c r="O222"/>
  <c r="O217"/>
  <c r="O218" s="1"/>
  <c r="O219"/>
  <c r="O220" s="1"/>
  <c r="N222"/>
  <c r="P223"/>
  <c r="P221" s="1"/>
  <c r="M222"/>
  <c r="M217"/>
  <c r="M218" s="1"/>
  <c r="K219"/>
  <c r="K220" s="1"/>
  <c r="K214" s="1"/>
  <c r="K216" s="1"/>
  <c r="K209"/>
  <c r="L207"/>
  <c r="P217" l="1"/>
  <c r="P218" s="1"/>
  <c r="P222"/>
  <c r="N219"/>
  <c r="N220" s="1"/>
  <c r="N214" s="1"/>
  <c r="N216" s="1"/>
  <c r="M207"/>
  <c r="L209"/>
  <c r="N207" l="1"/>
  <c r="M209"/>
  <c r="N209" l="1"/>
  <c r="O207"/>
  <c r="P207" l="1"/>
  <c r="O209"/>
  <c r="P209" l="1"/>
</calcChain>
</file>

<file path=xl/sharedStrings.xml><?xml version="1.0" encoding="utf-8"?>
<sst xmlns="http://schemas.openxmlformats.org/spreadsheetml/2006/main" count="489" uniqueCount="295">
  <si>
    <t>Приложение</t>
  </si>
  <si>
    <t>Показатели прогноза социально-экономического развития муниципального района (городского округа)Томской области на 2020-2022 годы</t>
  </si>
  <si>
    <t>Муниципальное образование "Томский район"</t>
  </si>
  <si>
    <t xml:space="preserve"> </t>
  </si>
  <si>
    <t>Показатели</t>
  </si>
  <si>
    <t>Единица измерения</t>
  </si>
  <si>
    <t>отчет</t>
  </si>
  <si>
    <t>оценка</t>
  </si>
  <si>
    <t>прогноз</t>
  </si>
  <si>
    <t>на 01.07.2019</t>
  </si>
  <si>
    <t>консервативный</t>
  </si>
  <si>
    <t>базовый</t>
  </si>
  <si>
    <t>целевой</t>
  </si>
  <si>
    <t>1 вариант</t>
  </si>
  <si>
    <t>2 вариант</t>
  </si>
  <si>
    <t>3 вариант</t>
  </si>
  <si>
    <t>1. Промышленное производство (BCDE)</t>
  </si>
  <si>
    <t>Объем отгруженных товаров собственного производства, выполненных работ и услуг собственными силами</t>
  </si>
  <si>
    <t xml:space="preserve">млн. руб. </t>
  </si>
  <si>
    <t xml:space="preserve">Индекс промышленного производства </t>
  </si>
  <si>
    <t>% к предыдущему году в сопоставимых ценах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</si>
  <si>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</si>
  <si>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</si>
  <si>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Индекс-дефлятор отрузки - РАЗДЕЛ B: Добыча полезных ископаемых</t>
  </si>
  <si>
    <t>% к предыдущему году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</si>
  <si>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</si>
  <si>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- 06 Добыча сырой нефти и природного газа</t>
  </si>
  <si>
    <t>Индекс-дефлятор отрузки - 06 Добыча сырой нефти и природного газа</t>
  </si>
  <si>
    <t>Индекс производства - 06 Добыча сырой нефти и природного газа</t>
  </si>
  <si>
    <t>Объем отгруженных товаров собственного производства, выполненных работ и услуг собственными силами - 08 Добыча прочих полезных ископаемых</t>
  </si>
  <si>
    <t>Индекс-дефлятор отрузки - 08 Добыча прочих полезных ископаемых</t>
  </si>
  <si>
    <t>Индекс производства - 08 Добыча прочих полезных ископаемых</t>
  </si>
  <si>
    <t>Объем отгруженных товаров собственного производства, выполненных работ и услуг собственными силами - 09 Предоставление услуг в области добычи полезных ископаемых</t>
  </si>
  <si>
    <t>Индекс-дефлятор отрузки - 09 Предоставление услуг в области добычи полезных ископаемых</t>
  </si>
  <si>
    <t>Индекс производства - 09 Предоставление услуг в области добычи полезных ископаемых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</si>
  <si>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</si>
  <si>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</si>
  <si>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Индекс-дефлятор отрузки - РАЗДЕЛ C: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</si>
  <si>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</si>
  <si>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</si>
  <si>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</si>
  <si>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</si>
  <si>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</si>
  <si>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Индекс-дефлятор отрузки - 11 Производство напитков</t>
  </si>
  <si>
    <t>Индекс производства - 11 Производство напитков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</si>
  <si>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</si>
  <si>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Индекс-дефлятор отрузки - 13 Производство текстильных изделий</t>
  </si>
  <si>
    <t>Индекс производства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</si>
  <si>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</si>
  <si>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Индекс-дефлятор отрузки - 14 Производство одежды</t>
  </si>
  <si>
    <t>Индекс производства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</si>
  <si>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</si>
  <si>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Индекс-дефлятор отрузки - 15 Производство кожи и изделий из кожи</t>
  </si>
  <si>
    <t>Индекс производства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</si>
  <si>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</si>
  <si>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Индекс-дефлятор отрузки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</si>
  <si>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</si>
  <si>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</si>
  <si>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Индекс-дефлятор отрузки - 17 Производство бумаги и бумажных изделий </t>
  </si>
  <si>
    <t xml:space="preserve">Индекс производства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</si>
  <si>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</si>
  <si>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</si>
  <si>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</si>
  <si>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</si>
  <si>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Индекс-дефлятор отрузки - 19 Производство кокса и нефтепродуктов</t>
  </si>
  <si>
    <t>Индекс производства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</si>
  <si>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</si>
  <si>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Индекс-дефлятор отрузки - 20 Производство химических веществ и химических продуктов</t>
  </si>
  <si>
    <t>Индекс производства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</si>
  <si>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</si>
  <si>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Индекс-дефлятор отрузки - 21 Производство лекарственных средств и материалов, применяемых в медицинских целях</t>
  </si>
  <si>
    <t>Индекс производства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</si>
  <si>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</si>
  <si>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Индекс-дефлятор отрузки - 22 Производство резиновых и пластмассовых изделий</t>
  </si>
  <si>
    <t>Индекс производства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</si>
  <si>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</si>
  <si>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>Индекс-дефлятор отрузки - 23 Производство прочей неметаллической минеральной продукции</t>
  </si>
  <si>
    <t>Индекс производства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</si>
  <si>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</si>
  <si>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 xml:space="preserve">Индекс-дефлятор отрузки - 24 Производство металлургическое </t>
  </si>
  <si>
    <t xml:space="preserve">Индекс производства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</si>
  <si>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</si>
  <si>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Индекс-дефлятор отрузки - 25 Производство готовых металлических изделий, кроме машин и оборудования</t>
  </si>
  <si>
    <t>Индекс производства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</si>
  <si>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</si>
  <si>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Индекс-дефлятор отрузки - 26 Производство компьютеров, электронных и  оптических изделий</t>
  </si>
  <si>
    <t>Индекс производства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</si>
  <si>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</si>
  <si>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Индекс-дефлятор отрузки - 27 Производство электрического оборудования</t>
  </si>
  <si>
    <t>Индекс производства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</si>
  <si>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</si>
  <si>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Индекс-дефлятор отрузки - 28 Производство машин и оборудования, не включенных в другие группировки</t>
  </si>
  <si>
    <t>Индекс производства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</si>
  <si>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</si>
  <si>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Индекс-дефлятор отрузки - 29 Производство автотранспортных средств, прицепов и полуприцепов</t>
  </si>
  <si>
    <t>Индекс производства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</si>
  <si>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</si>
  <si>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Индекс-дефлятор отрузки - 30 Производство прочих транспортных средств и оборудования</t>
  </si>
  <si>
    <t>Индекс производства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</si>
  <si>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</si>
  <si>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Индекс-дефлятор отрузки - 31 Производство мебели</t>
  </si>
  <si>
    <t>Индекс производства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</si>
  <si>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</si>
  <si>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Индекс-дефлятор отрузки - 32 Производство прочих готовых изделий</t>
  </si>
  <si>
    <t>Индекс производства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</si>
  <si>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</si>
  <si>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Индекс-дефлятор отрузки - 33 Ремонт и монтаж машин и оборудования</t>
  </si>
  <si>
    <t>Индекс производства - 33 Ремонт и монтаж машин и оборудования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</si>
  <si>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</si>
  <si>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</si>
  <si>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Индекс-дефлятор отгрузки - РАЗДЕЛ D: Обеспечение электрической энергией, газом и паром; кондиционирование воздуха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</si>
  <si>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</si>
  <si>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</si>
  <si>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</si>
  <si>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</si>
  <si>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</si>
  <si>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2.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</si>
  <si>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</si>
  <si>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</si>
  <si>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</si>
  <si>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</si>
  <si>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</si>
  <si>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</si>
  <si>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</si>
  <si>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</si>
  <si>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</si>
  <si>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</si>
  <si>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</si>
  <si>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</si>
  <si>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3.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</si>
  <si>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</si>
  <si>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</si>
  <si>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>Плотность автомобильных дорог общего пользования с твердым покрытием</t>
  </si>
  <si>
    <t>на конец года; км путей на 10000 кв.км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</si>
  <si>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</si>
  <si>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</si>
  <si>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 xml:space="preserve">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</si>
  <si>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</si>
  <si>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</si>
  <si>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>Валовой сбор семян масличных культур – всего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</si>
  <si>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</si>
  <si>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</si>
  <si>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</si>
  <si>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</si>
  <si>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</si>
  <si>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</si>
  <si>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</si>
  <si>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</si>
  <si>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</si>
  <si>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</si>
  <si>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</si>
  <si>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</si>
  <si>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</si>
  <si>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</si>
  <si>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</si>
  <si>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</si>
  <si>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Водка</t>
  </si>
  <si>
    <t>тыс. дкл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</si>
  <si>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</si>
  <si>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</si>
  <si>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</si>
  <si>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</si>
  <si>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</si>
  <si>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</si>
  <si>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</si>
  <si>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</si>
  <si>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Бензин автомобильный</t>
  </si>
  <si>
    <t>млн.тонн</t>
  </si>
  <si>
    <t>Топливо дизельное</t>
  </si>
  <si>
    <t>Масла нефтяные смазочные</t>
  </si>
  <si>
    <t>Мазут топочный</t>
  </si>
  <si>
    <r>
      <t>Топливо печное бытовое</t>
    </r>
    <r>
      <rPr>
        <b/>
        <sz val="14"/>
        <color indexed="10"/>
        <rFont val="Times New Roman"/>
        <family val="1"/>
        <charset val="204"/>
      </rPr>
      <t xml:space="preserve">, </t>
    </r>
    <r>
      <rPr>
        <sz val="14"/>
        <color indexed="10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</si>
  <si>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</si>
  <si>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</si>
  <si>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</si>
  <si>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</si>
  <si>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</si>
  <si>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</si>
  <si>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</si>
  <si>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</si>
  <si>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</si>
  <si>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нет данных</t>
  </si>
  <si>
    <t>тепловыми электростанциями</t>
  </si>
  <si>
    <t>гидроэлектростанциями</t>
  </si>
  <si>
    <t>4. Строительство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</si>
  <si>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</si>
  <si>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</si>
  <si>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</si>
  <si>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</si>
  <si>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</si>
  <si>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</si>
  <si>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</si>
  <si>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</si>
  <si>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5.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</si>
  <si>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</si>
  <si>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</si>
  <si>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</si>
  <si>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</si>
  <si>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</si>
  <si>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</si>
  <si>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</si>
  <si>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</si>
  <si>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</si>
  <si>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</si>
  <si>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</si>
  <si>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</si>
  <si>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</si>
  <si>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</si>
  <si>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</si>
  <si>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</si>
  <si>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</si>
  <si>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</si>
  <si>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6. Торговля и услуги населению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</si>
  <si>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</si>
  <si>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</si>
  <si>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</si>
  <si>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Индекс потребительских цен на продукцию общественного питания за период с начала года</t>
  </si>
  <si>
    <t>к соответствующему периоду предыдущего года, %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</si>
  <si>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</si>
  <si>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</si>
  <si>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</si>
  <si>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</si>
  <si>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</si>
  <si>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</si>
  <si>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</si>
  <si>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</si>
  <si>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</si>
  <si>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</si>
  <si>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</si>
  <si>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7.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</si>
  <si>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</si>
  <si>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</si>
  <si>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</si>
  <si>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тыс. чел.</t>
  </si>
  <si>
    <t>Оборот малых и средних предприятий, включая микропредприятия</t>
  </si>
  <si>
    <t xml:space="preserve">млрд. руб. </t>
  </si>
  <si>
    <t>8. Финансы</t>
  </si>
  <si>
    <t>Прибыль прибыльных организаций</t>
  </si>
  <si>
    <t>убыток, для расчетов</t>
  </si>
  <si>
    <t>Сальдированный финансовый результат (прибыль минус убыток)</t>
  </si>
  <si>
    <t>9. Население</t>
  </si>
  <si>
    <t>Численность населения (в среднегодовом исчислении)</t>
  </si>
  <si>
    <t>тыс.чел.</t>
  </si>
  <si>
    <t>Численность населения (на конец года), для расчетов</t>
  </si>
  <si>
    <t>Численность населения трудоспособного возраста</t>
  </si>
  <si>
    <t>Численность населения старше трудоспособного возраста</t>
  </si>
  <si>
    <t>Доля численности населения трудоспособного возраста, для расчетов</t>
  </si>
  <si>
    <t>Доля численности населения старше трудоспособного возраста, для расчетов</t>
  </si>
  <si>
    <t>Число родившихся, для расчетов</t>
  </si>
  <si>
    <t>Общий коэффициент рождаемости</t>
  </si>
  <si>
    <t>число родившихся на 1000 человек населения</t>
  </si>
  <si>
    <t>Число умерших, для расчетов</t>
  </si>
  <si>
    <t>Общий коэффициент смертности</t>
  </si>
  <si>
    <t>число умерших на 1000 человек населения</t>
  </si>
  <si>
    <t>Естественный прирост, для расчетов</t>
  </si>
  <si>
    <t>Коэффициент естественного прироста населения</t>
  </si>
  <si>
    <t>на 1000 человек населения</t>
  </si>
  <si>
    <t>Миграционный прирост (убыль)</t>
  </si>
  <si>
    <t>тыс. чел</t>
  </si>
  <si>
    <t>10. Труд и занятость</t>
  </si>
  <si>
    <t>Номинальная начисленная среднемесячная заработная плата работников организаций</t>
  </si>
  <si>
    <t>руб/мес</t>
  </si>
  <si>
    <t>Темп номинальной начисленной среднемесячной заработной платы работников организаций</t>
  </si>
  <si>
    <t>% г/г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</si>
  <si>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</si>
  <si>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</si>
  <si>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Фонд заработной платы работников организаций</t>
  </si>
  <si>
    <t>Темп роста фонда заработной платы работников организаций</t>
  </si>
  <si>
    <t>11. Развитие социальной сферы</t>
  </si>
  <si>
    <t>Обеспеченность:</t>
  </si>
  <si>
    <t>детей в возрасте 1-6 лет местами в дошкольных образовательных учреждениях</t>
  </si>
  <si>
    <t>больничными койками (круглосуточный стационар)</t>
  </si>
  <si>
    <t>коек на 10 тыс. жителей</t>
  </si>
  <si>
    <t>койками дневного пребывания (при круглосуточном стационаре)</t>
  </si>
  <si>
    <t>койками сестринского ухода</t>
  </si>
  <si>
    <t>амбулаторно-поликлиническими учреждениями</t>
  </si>
  <si>
    <t>посещений в смену на 10 тыс. жителей</t>
  </si>
  <si>
    <t xml:space="preserve">врачами            </t>
  </si>
  <si>
    <t>чел. на 10 тыс. жителей</t>
  </si>
  <si>
    <t>средним медицинским персоналом</t>
  </si>
  <si>
    <t>домами-интернатами для престарелых и инвалидов и детей-инвалидов</t>
  </si>
  <si>
    <t>мест на 10 тыс. жителей</t>
  </si>
  <si>
    <t>общедоступными  библиотеками</t>
  </si>
  <si>
    <t>учреждениями культурно-досугового типа</t>
  </si>
  <si>
    <t>спортивными залами</t>
  </si>
  <si>
    <t>тыс.кв.м на 10 тыс.чел.</t>
  </si>
  <si>
    <t>плоскостными сооржениями</t>
  </si>
  <si>
    <t>кв.м на 10 тыс.чел.</t>
  </si>
  <si>
    <t>плавательными бассейнами</t>
  </si>
  <si>
    <t>кв.м зеркала воды на 10 тыс.чел.</t>
  </si>
  <si>
    <t>Удельный вес учащихся занимающихся в первую смену в дневных учреждениях общего образования (в % к общему числу обучающихся в этих учреждениях) (на начало года)</t>
  </si>
  <si>
    <t>город</t>
  </si>
  <si>
    <t>село</t>
  </si>
  <si>
    <t>Выпуск учащихся из государственных дневных полных средних общеобразовательных учреждений</t>
  </si>
  <si>
    <t>чел. на 100 жителей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</si>
</sst>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_)"/>
  </numFmts>
  <fonts count="19">
    <font>
      <sz val="10"/>
      <name val="Arial Cyr"/>
      <charset val="204"/>
    </font>
    <font>
      <b/>
      <sz val="16"/>
      <name val="Arial Cyr"/>
      <charset val="204"/>
    </font>
    <font>
      <sz val="10"/>
      <color rgb="FFFF000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ourier"/>
      <family val="1"/>
      <charset val="204"/>
    </font>
    <font>
      <sz val="11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Arial Cyr"/>
      <charset val="204"/>
    </font>
    <font>
      <sz val="14"/>
      <name val="Times New Roman CYR"/>
      <family val="1"/>
      <charset val="204"/>
    </font>
    <font>
      <sz val="14"/>
      <color rgb="FFFF000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6" fontId="9" fillId="0" borderId="0"/>
  </cellStyleXfs>
  <cellXfs count="131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2" borderId="0" xfId="0" applyFont="1" applyFill="1"/>
    <xf numFmtId="0" fontId="0" fillId="3" borderId="0" xfId="0" applyFill="1"/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Continuous" vertical="center" wrapText="1"/>
    </xf>
    <xf numFmtId="0" fontId="4" fillId="2" borderId="2" xfId="0" applyFont="1" applyFill="1" applyBorder="1" applyAlignment="1" applyProtection="1">
      <alignment horizontal="centerContinuous" vertical="center" wrapText="1"/>
    </xf>
    <xf numFmtId="0" fontId="3" fillId="3" borderId="2" xfId="0" applyFont="1" applyFill="1" applyBorder="1" applyAlignment="1" applyProtection="1">
      <alignment horizontal="centerContinuous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 shrinkToFi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 shrinkToFit="1"/>
    </xf>
    <xf numFmtId="164" fontId="5" fillId="3" borderId="2" xfId="0" applyNumberFormat="1" applyFont="1" applyFill="1" applyBorder="1" applyAlignment="1" applyProtection="1">
      <alignment horizontal="right" wrapText="1"/>
    </xf>
    <xf numFmtId="164" fontId="5" fillId="2" borderId="2" xfId="0" applyNumberFormat="1" applyFont="1" applyFill="1" applyBorder="1" applyAlignment="1" applyProtection="1">
      <alignment horizontal="right" wrapText="1"/>
    </xf>
    <xf numFmtId="164" fontId="7" fillId="3" borderId="2" xfId="0" applyNumberFormat="1" applyFont="1" applyFill="1" applyBorder="1" applyAlignment="1" applyProtection="1">
      <alignment horizontal="right" wrapText="1"/>
    </xf>
    <xf numFmtId="164" fontId="7" fillId="2" borderId="2" xfId="0" applyNumberFormat="1" applyFont="1" applyFill="1" applyBorder="1" applyAlignment="1" applyProtection="1">
      <alignment horizontal="right" wrapText="1"/>
    </xf>
    <xf numFmtId="0" fontId="8" fillId="0" borderId="2" xfId="0" applyFont="1" applyFill="1" applyBorder="1" applyAlignment="1" applyProtection="1">
      <alignment horizontal="left" vertical="center" wrapText="1" shrinkToFit="1"/>
    </xf>
    <xf numFmtId="164" fontId="6" fillId="3" borderId="2" xfId="0" applyNumberFormat="1" applyFont="1" applyFill="1" applyBorder="1" applyAlignment="1" applyProtection="1">
      <alignment horizontal="right" wrapText="1"/>
    </xf>
    <xf numFmtId="164" fontId="6" fillId="3" borderId="2" xfId="0" applyNumberFormat="1" applyFont="1" applyFill="1" applyBorder="1" applyAlignment="1" applyProtection="1">
      <alignment horizontal="right" wrapText="1"/>
      <protection locked="0"/>
    </xf>
    <xf numFmtId="164" fontId="7" fillId="2" borderId="2" xfId="0" applyNumberFormat="1" applyFont="1" applyFill="1" applyBorder="1" applyAlignment="1" applyProtection="1">
      <alignment horizontal="right" wrapText="1"/>
      <protection locked="0"/>
    </xf>
    <xf numFmtId="165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 shrinkToFit="1"/>
    </xf>
    <xf numFmtId="4" fontId="5" fillId="2" borderId="2" xfId="0" applyNumberFormat="1" applyFont="1" applyFill="1" applyBorder="1" applyAlignment="1" applyProtection="1">
      <alignment horizontal="right" wrapText="1"/>
    </xf>
    <xf numFmtId="164" fontId="5" fillId="2" borderId="2" xfId="0" applyNumberFormat="1" applyFont="1" applyFill="1" applyBorder="1" applyAlignment="1" applyProtection="1">
      <alignment horizontal="right" wrapText="1"/>
      <protection locked="0"/>
    </xf>
    <xf numFmtId="165" fontId="5" fillId="3" borderId="2" xfId="0" applyNumberFormat="1" applyFont="1" applyFill="1" applyBorder="1" applyAlignment="1">
      <alignment horizontal="right"/>
    </xf>
    <xf numFmtId="165" fontId="6" fillId="3" borderId="2" xfId="0" applyNumberFormat="1" applyFont="1" applyFill="1" applyBorder="1" applyAlignment="1" applyProtection="1">
      <alignment horizontal="right" wrapText="1"/>
      <protection locked="0"/>
    </xf>
    <xf numFmtId="0" fontId="7" fillId="3" borderId="2" xfId="0" applyFont="1" applyFill="1" applyBorder="1" applyAlignment="1" applyProtection="1">
      <alignment horizontal="left" vertical="center" wrapText="1" shrinkToFit="1"/>
    </xf>
    <xf numFmtId="0" fontId="7" fillId="0" borderId="2" xfId="0" applyFont="1" applyFill="1" applyBorder="1" applyAlignment="1" applyProtection="1">
      <alignment horizontal="center" vertical="center" wrapText="1"/>
    </xf>
    <xf numFmtId="164" fontId="7" fillId="4" borderId="2" xfId="0" applyNumberFormat="1" applyFont="1" applyFill="1" applyBorder="1" applyAlignment="1" applyProtection="1">
      <alignment horizontal="right" wrapText="1"/>
    </xf>
    <xf numFmtId="164" fontId="7" fillId="4" borderId="2" xfId="0" applyNumberFormat="1" applyFont="1" applyFill="1" applyBorder="1" applyAlignment="1" applyProtection="1">
      <alignment horizontal="right" wrapText="1"/>
      <protection locked="0"/>
    </xf>
    <xf numFmtId="164" fontId="7" fillId="3" borderId="2" xfId="0" applyNumberFormat="1" applyFont="1" applyFill="1" applyBorder="1" applyAlignment="1" applyProtection="1">
      <alignment horizontal="right" wrapText="1"/>
      <protection locked="0"/>
    </xf>
    <xf numFmtId="165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16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2" xfId="0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left" vertical="center" wrapText="1" shrinkToFi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/>
    <xf numFmtId="0" fontId="0" fillId="0" borderId="0" xfId="0" applyBorder="1"/>
    <xf numFmtId="0" fontId="5" fillId="0" borderId="2" xfId="0" applyFont="1" applyFill="1" applyBorder="1" applyAlignment="1" applyProtection="1">
      <alignment horizontal="left" vertical="center" wrapText="1" shrinkToFit="1"/>
    </xf>
    <xf numFmtId="165" fontId="5" fillId="3" borderId="2" xfId="0" applyNumberFormat="1" applyFont="1" applyFill="1" applyBorder="1"/>
    <xf numFmtId="0" fontId="2" fillId="0" borderId="0" xfId="0" applyFont="1" applyBorder="1"/>
    <xf numFmtId="165" fontId="7" fillId="3" borderId="2" xfId="0" applyNumberFormat="1" applyFont="1" applyFill="1" applyBorder="1" applyAlignment="1" applyProtection="1">
      <alignment horizontal="right" wrapText="1"/>
      <protection locked="0"/>
    </xf>
    <xf numFmtId="165" fontId="7" fillId="3" borderId="2" xfId="0" applyNumberFormat="1" applyFont="1" applyFill="1" applyBorder="1"/>
    <xf numFmtId="0" fontId="7" fillId="0" borderId="2" xfId="0" applyFont="1" applyFill="1" applyBorder="1" applyAlignment="1" applyProtection="1">
      <alignment horizontal="left" vertical="center" wrapText="1" shrinkToFit="1"/>
    </xf>
    <xf numFmtId="164" fontId="5" fillId="3" borderId="2" xfId="0" applyNumberFormat="1" applyFont="1" applyFill="1" applyBorder="1" applyAlignment="1" applyProtection="1">
      <alignment horizontal="right" wrapText="1"/>
      <protection locked="0"/>
    </xf>
    <xf numFmtId="164" fontId="6" fillId="0" borderId="2" xfId="0" applyNumberFormat="1" applyFont="1" applyFill="1" applyBorder="1" applyAlignment="1" applyProtection="1">
      <alignment horizontal="right" wrapText="1"/>
      <protection locked="0"/>
    </xf>
    <xf numFmtId="0" fontId="6" fillId="0" borderId="2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164" fontId="6" fillId="3" borderId="2" xfId="0" applyNumberFormat="1" applyFont="1" applyFill="1" applyBorder="1" applyAlignment="1">
      <alignment horizontal="right" wrapText="1" shrinkToFit="1"/>
    </xf>
    <xf numFmtId="164" fontId="7" fillId="2" borderId="2" xfId="0" applyNumberFormat="1" applyFont="1" applyFill="1" applyBorder="1" applyAlignment="1">
      <alignment horizontal="right" wrapText="1" shrinkToFi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64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" xfId="0" applyNumberFormat="1" applyFont="1" applyFill="1" applyBorder="1" applyAlignment="1" applyProtection="1">
      <alignment horizontal="right" wrapText="1"/>
    </xf>
    <xf numFmtId="0" fontId="2" fillId="0" borderId="0" xfId="0" applyFont="1" applyFill="1"/>
    <xf numFmtId="0" fontId="7" fillId="0" borderId="2" xfId="0" applyFont="1" applyFill="1" applyBorder="1" applyAlignment="1">
      <alignment horizontal="left" vertical="center" wrapText="1" shrinkToFit="1"/>
    </xf>
    <xf numFmtId="164" fontId="6" fillId="3" borderId="2" xfId="0" applyNumberFormat="1" applyFont="1" applyFill="1" applyBorder="1" applyAlignment="1" applyProtection="1">
      <alignment horizontal="right" wrapText="1" shrinkToFit="1"/>
      <protection locked="0"/>
    </xf>
    <xf numFmtId="164" fontId="7" fillId="2" borderId="2" xfId="0" applyNumberFormat="1" applyFont="1" applyFill="1" applyBorder="1" applyAlignment="1" applyProtection="1">
      <alignment horizontal="right" wrapText="1" shrinkToFit="1"/>
      <protection locked="0"/>
    </xf>
    <xf numFmtId="164" fontId="14" fillId="3" borderId="2" xfId="0" applyNumberFormat="1" applyFont="1" applyFill="1" applyBorder="1" applyAlignment="1" applyProtection="1">
      <alignment horizontal="right" wrapText="1"/>
      <protection locked="0"/>
    </xf>
    <xf numFmtId="0" fontId="3" fillId="0" borderId="2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right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164" fontId="7" fillId="4" borderId="2" xfId="0" applyNumberFormat="1" applyFont="1" applyFill="1" applyBorder="1" applyAlignment="1">
      <alignment horizontal="right" wrapText="1" shrinkToFit="1"/>
    </xf>
    <xf numFmtId="0" fontId="7" fillId="0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 applyAlignment="1">
      <alignment horizontal="right" wrapText="1"/>
    </xf>
    <xf numFmtId="164" fontId="7" fillId="4" borderId="2" xfId="0" applyNumberFormat="1" applyFont="1" applyFill="1" applyBorder="1" applyAlignment="1">
      <alignment horizontal="right" wrapText="1"/>
    </xf>
    <xf numFmtId="164" fontId="6" fillId="2" borderId="2" xfId="0" applyNumberFormat="1" applyFont="1" applyFill="1" applyBorder="1" applyAlignment="1" applyProtection="1">
      <alignment horizontal="right" wrapText="1"/>
      <protection locked="0"/>
    </xf>
    <xf numFmtId="3" fontId="5" fillId="3" borderId="2" xfId="0" applyNumberFormat="1" applyFont="1" applyFill="1" applyBorder="1" applyAlignment="1" applyProtection="1">
      <alignment horizontal="right" wrapText="1"/>
    </xf>
    <xf numFmtId="3" fontId="5" fillId="3" borderId="2" xfId="0" applyNumberFormat="1" applyFont="1" applyFill="1" applyBorder="1" applyAlignment="1" applyProtection="1">
      <alignment horizontal="right" wrapText="1"/>
      <protection locked="0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164" fontId="5" fillId="3" borderId="2" xfId="0" applyNumberFormat="1" applyFont="1" applyFill="1" applyBorder="1" applyAlignment="1">
      <alignment horizontal="right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>
      <alignment horizontal="left" vertical="center" wrapText="1" shrinkToFit="1"/>
    </xf>
    <xf numFmtId="0" fontId="5" fillId="2" borderId="2" xfId="0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right" wrapText="1"/>
    </xf>
    <xf numFmtId="0" fontId="0" fillId="2" borderId="0" xfId="0" applyFill="1"/>
    <xf numFmtId="0" fontId="5" fillId="0" borderId="1" xfId="0" applyFont="1" applyFill="1" applyBorder="1" applyAlignment="1" applyProtection="1">
      <alignment vertical="center" wrapText="1" shrinkToFit="1"/>
    </xf>
    <xf numFmtId="164" fontId="5" fillId="3" borderId="1" xfId="0" applyNumberFormat="1" applyFont="1" applyFill="1" applyBorder="1" applyAlignment="1" applyProtection="1">
      <alignment horizontal="right" wrapText="1"/>
    </xf>
    <xf numFmtId="0" fontId="8" fillId="2" borderId="2" xfId="0" applyFont="1" applyFill="1" applyBorder="1" applyAlignment="1" applyProtection="1">
      <alignment horizontal="left" vertical="center" wrapText="1" shrinkToFi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left" vertical="center" wrapText="1" shrinkToFit="1"/>
    </xf>
    <xf numFmtId="0" fontId="15" fillId="3" borderId="2" xfId="0" applyFont="1" applyFill="1" applyBorder="1"/>
    <xf numFmtId="0" fontId="16" fillId="2" borderId="2" xfId="0" applyFont="1" applyFill="1" applyBorder="1"/>
    <xf numFmtId="49" fontId="17" fillId="0" borderId="2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 indent="2"/>
    </xf>
    <xf numFmtId="0" fontId="5" fillId="3" borderId="2" xfId="0" applyFont="1" applyFill="1" applyBorder="1"/>
    <xf numFmtId="0" fontId="5" fillId="2" borderId="2" xfId="0" applyFont="1" applyFill="1" applyBorder="1" applyAlignment="1">
      <alignment horizontal="right"/>
    </xf>
    <xf numFmtId="0" fontId="7" fillId="2" borderId="2" xfId="0" applyFont="1" applyFill="1" applyBorder="1"/>
    <xf numFmtId="49" fontId="18" fillId="0" borderId="2" xfId="0" applyNumberFormat="1" applyFont="1" applyFill="1" applyBorder="1" applyAlignment="1" applyProtection="1">
      <alignment horizontal="left" vertical="center" wrapText="1" indent="2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/>
    <xf numFmtId="0" fontId="16" fillId="3" borderId="2" xfId="0" applyFont="1" applyFill="1" applyBorder="1"/>
    <xf numFmtId="0" fontId="5" fillId="2" borderId="2" xfId="0" applyFont="1" applyFill="1" applyBorder="1"/>
    <xf numFmtId="164" fontId="5" fillId="3" borderId="2" xfId="0" applyNumberFormat="1" applyFont="1" applyFill="1" applyBorder="1"/>
    <xf numFmtId="164" fontId="5" fillId="2" borderId="2" xfId="0" applyNumberFormat="1" applyFont="1" applyFill="1" applyBorder="1"/>
    <xf numFmtId="49" fontId="17" fillId="0" borderId="2" xfId="0" applyNumberFormat="1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>
      <alignment horizontal="right"/>
    </xf>
    <xf numFmtId="49" fontId="18" fillId="0" borderId="2" xfId="0" applyNumberFormat="1" applyFont="1" applyFill="1" applyBorder="1" applyAlignment="1" applyProtection="1">
      <alignment horizontal="left" vertical="center" indent="2"/>
    </xf>
    <xf numFmtId="0" fontId="7" fillId="3" borderId="2" xfId="0" applyFont="1" applyFill="1" applyBorder="1" applyAlignment="1">
      <alignment horizontal="right"/>
    </xf>
    <xf numFmtId="49" fontId="17" fillId="0" borderId="2" xfId="0" applyNumberFormat="1" applyFont="1" applyFill="1" applyBorder="1" applyAlignment="1" applyProtection="1">
      <alignment horizontal="left" vertical="center" indent="2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r/AppData/Local/Microsoft/Windows/Temporary%20Internet%20Files/Content.IE5/USYYZSGQ/!&#1055;&#1086;&#1082;&#1072;&#1079;&#1072;&#1090;&#1077;&#1083;&#1080;%20&#1087;&#1088;&#1086;&#1075;&#1085;&#1086;&#1079;&#1072;%20&#1057;&#1069;&#1056;_2020-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п (2)"/>
      <sheetName val="форма 2п"/>
      <sheetName val="1.ИПЦ (базовый)"/>
      <sheetName val="3.ИПЦ (консервативный)"/>
      <sheetName val="Лист4"/>
    </sheetNames>
    <sheetDataSet>
      <sheetData sheetId="0"/>
      <sheetData sheetId="1"/>
      <sheetData sheetId="2">
        <row r="5">
          <cell r="M5">
            <v>104.97799999999999</v>
          </cell>
          <cell r="N5">
            <v>103.727</v>
          </cell>
          <cell r="O5">
            <v>103.97499999999999</v>
          </cell>
          <cell r="P5">
            <v>104.041</v>
          </cell>
        </row>
      </sheetData>
      <sheetData sheetId="3">
        <row r="5">
          <cell r="N5">
            <v>103.988</v>
          </cell>
          <cell r="O5">
            <v>103.971</v>
          </cell>
          <cell r="P5">
            <v>104.002</v>
          </cell>
        </row>
      </sheetData>
      <sheetData sheetId="4">
        <row r="53">
          <cell r="E53">
            <v>55.857089083859826</v>
          </cell>
          <cell r="F53">
            <v>56.060356363541374</v>
          </cell>
          <cell r="G53">
            <v>56.279897034066671</v>
          </cell>
          <cell r="H53">
            <v>56.496093130373744</v>
          </cell>
        </row>
        <row r="54">
          <cell r="E54">
            <v>25.406600882952244</v>
          </cell>
          <cell r="F54">
            <v>25.12513464967898</v>
          </cell>
          <cell r="G54">
            <v>24.856830071983307</v>
          </cell>
          <cell r="H54">
            <v>24.605981953740283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250"/>
  <sheetViews>
    <sheetView tabSelected="1" view="pageBreakPreview" zoomScale="50" zoomScaleNormal="50" zoomScaleSheetLayoutView="50" workbookViewId="0">
      <pane ySplit="9" topLeftCell="A10" activePane="bottomLeft" state="frozen"/>
      <selection pane="bottomLeft" activeCell="S13" sqref="S13"/>
    </sheetView>
  </sheetViews>
  <sheetFormatPr defaultRowHeight="12.75"/>
  <cols>
    <col min="1" max="1" width="3" customWidth="1"/>
    <col min="2" max="2" width="78.5703125" customWidth="1"/>
    <col min="3" max="3" width="28.7109375" customWidth="1"/>
    <col min="4" max="4" width="13.42578125" customWidth="1"/>
    <col min="5" max="5" width="14" customWidth="1"/>
    <col min="6" max="6" width="15.140625" style="2" hidden="1" customWidth="1"/>
    <col min="7" max="7" width="16.7109375" style="3" customWidth="1"/>
    <col min="8" max="8" width="14.7109375" style="3" customWidth="1"/>
    <col min="9" max="10" width="12.28515625" style="3" customWidth="1"/>
    <col min="11" max="11" width="13.7109375" style="3" customWidth="1"/>
    <col min="12" max="16" width="12.28515625" style="3" customWidth="1"/>
    <col min="18" max="18" width="13.140625" customWidth="1"/>
    <col min="19" max="19" width="16.42578125" customWidth="1"/>
  </cols>
  <sheetData>
    <row r="2" spans="2:24" ht="20.25"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2:24" ht="20.25" customHeight="1">
      <c r="B3" s="117" t="s">
        <v>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"/>
      <c r="R3" s="1"/>
      <c r="S3" s="1"/>
      <c r="T3" s="1"/>
      <c r="U3" s="1"/>
      <c r="V3" s="1"/>
      <c r="W3" s="1"/>
      <c r="X3" s="1"/>
    </row>
    <row r="4" spans="2:24" ht="20.25" customHeight="1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2:24">
      <c r="B5" t="s">
        <v>3</v>
      </c>
    </row>
    <row r="6" spans="2:24" ht="17.45" customHeight="1">
      <c r="B6" s="118" t="s">
        <v>4</v>
      </c>
      <c r="C6" s="118" t="s">
        <v>5</v>
      </c>
      <c r="D6" s="4" t="s">
        <v>6</v>
      </c>
      <c r="E6" s="5" t="s">
        <v>6</v>
      </c>
      <c r="F6" s="6" t="s">
        <v>6</v>
      </c>
      <c r="G6" s="7" t="s">
        <v>7</v>
      </c>
      <c r="H6" s="7" t="s">
        <v>8</v>
      </c>
      <c r="I6" s="7"/>
      <c r="J6" s="7"/>
      <c r="K6" s="7"/>
      <c r="L6" s="7"/>
      <c r="M6" s="7"/>
      <c r="N6" s="7"/>
      <c r="O6" s="7"/>
      <c r="P6" s="7"/>
    </row>
    <row r="7" spans="2:24" ht="23.25" customHeight="1">
      <c r="B7" s="119"/>
      <c r="C7" s="119"/>
      <c r="D7" s="118">
        <v>2017</v>
      </c>
      <c r="E7" s="118">
        <v>2018</v>
      </c>
      <c r="F7" s="122" t="s">
        <v>9</v>
      </c>
      <c r="G7" s="125">
        <v>2019</v>
      </c>
      <c r="H7" s="128">
        <v>2020</v>
      </c>
      <c r="I7" s="129"/>
      <c r="J7" s="130"/>
      <c r="K7" s="128">
        <v>2021</v>
      </c>
      <c r="L7" s="129"/>
      <c r="M7" s="130"/>
      <c r="N7" s="128">
        <v>2022</v>
      </c>
      <c r="O7" s="129"/>
      <c r="P7" s="130"/>
    </row>
    <row r="8" spans="2:24" ht="37.5" customHeight="1">
      <c r="B8" s="119"/>
      <c r="C8" s="119"/>
      <c r="D8" s="119"/>
      <c r="E8" s="119"/>
      <c r="F8" s="123"/>
      <c r="G8" s="126"/>
      <c r="H8" s="8" t="s">
        <v>10</v>
      </c>
      <c r="I8" s="8" t="s">
        <v>11</v>
      </c>
      <c r="J8" s="8" t="s">
        <v>12</v>
      </c>
      <c r="K8" s="8" t="s">
        <v>10</v>
      </c>
      <c r="L8" s="8" t="s">
        <v>11</v>
      </c>
      <c r="M8" s="8" t="s">
        <v>12</v>
      </c>
      <c r="N8" s="8" t="s">
        <v>10</v>
      </c>
      <c r="O8" s="8" t="s">
        <v>11</v>
      </c>
      <c r="P8" s="8" t="s">
        <v>12</v>
      </c>
    </row>
    <row r="9" spans="2:24" ht="37.5">
      <c r="B9" s="120"/>
      <c r="C9" s="120"/>
      <c r="D9" s="121"/>
      <c r="E9" s="120"/>
      <c r="F9" s="124"/>
      <c r="G9" s="127"/>
      <c r="H9" s="8" t="s">
        <v>13</v>
      </c>
      <c r="I9" s="8" t="s">
        <v>14</v>
      </c>
      <c r="J9" s="8" t="s">
        <v>15</v>
      </c>
      <c r="K9" s="8" t="s">
        <v>13</v>
      </c>
      <c r="L9" s="8" t="s">
        <v>14</v>
      </c>
      <c r="M9" s="8" t="s">
        <v>15</v>
      </c>
      <c r="N9" s="8" t="s">
        <v>13</v>
      </c>
      <c r="O9" s="8" t="s">
        <v>14</v>
      </c>
      <c r="P9" s="8" t="s">
        <v>15</v>
      </c>
    </row>
    <row r="10" spans="2:24" ht="18" customHeight="1">
      <c r="B10" s="9" t="s">
        <v>16</v>
      </c>
      <c r="C10" s="10"/>
      <c r="D10" s="11"/>
      <c r="E10" s="12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24" ht="37.5">
      <c r="B11" s="15" t="s">
        <v>17</v>
      </c>
      <c r="C11" s="10" t="s">
        <v>18</v>
      </c>
      <c r="D11" s="16">
        <f>D14+D27+D100+D104</f>
        <v>9807.7967913957946</v>
      </c>
      <c r="E11" s="16">
        <f>E14+E27+E100+E104</f>
        <v>10190.3009</v>
      </c>
      <c r="F11" s="17">
        <v>5352.3208999999997</v>
      </c>
      <c r="G11" s="16">
        <f>G14+G27+G100+G104</f>
        <v>10514.70055</v>
      </c>
      <c r="H11" s="16">
        <f t="shared" ref="H11:P11" si="0">H14+H27+H100+H104</f>
        <v>10541.099999999999</v>
      </c>
      <c r="I11" s="16">
        <f t="shared" si="0"/>
        <v>10905.6</v>
      </c>
      <c r="J11" s="16">
        <f t="shared" si="0"/>
        <v>11177.6</v>
      </c>
      <c r="K11" s="16">
        <f t="shared" si="0"/>
        <v>10396.900000000001</v>
      </c>
      <c r="L11" s="16">
        <f t="shared" si="0"/>
        <v>11203.1</v>
      </c>
      <c r="M11" s="16">
        <f t="shared" si="0"/>
        <v>11837</v>
      </c>
      <c r="N11" s="16">
        <f t="shared" si="0"/>
        <v>10284.799999999999</v>
      </c>
      <c r="O11" s="16">
        <f t="shared" si="0"/>
        <v>11562</v>
      </c>
      <c r="P11" s="16">
        <f t="shared" si="0"/>
        <v>12641.300000000001</v>
      </c>
    </row>
    <row r="12" spans="2:24" ht="56.25">
      <c r="B12" s="15" t="s">
        <v>19</v>
      </c>
      <c r="C12" s="10" t="s">
        <v>20</v>
      </c>
      <c r="D12" s="18"/>
      <c r="E12" s="16">
        <f>(((E27*100/E11)*E29)+((E100*100/E11)*E102)+((E104*100/E11)*E106)+((E14*100/E11)*E16))/100</f>
        <v>92.702459491964007</v>
      </c>
      <c r="F12" s="19">
        <v>97.8</v>
      </c>
      <c r="G12" s="16">
        <f>(((G27*100/G11)*G29)+((G100*100/G11)*G102)+((G104*100/G11)*G106)+((G14*100/G11)*G16))/100</f>
        <v>98.979900233668445</v>
      </c>
      <c r="H12" s="16">
        <f>(((H27*100/H11)*H29)+((H100*100/H11)*H102)+((H104*100/H11)*H106)+((H14*100/H11)*H16))/100</f>
        <v>97.630098898596955</v>
      </c>
      <c r="I12" s="16">
        <f t="shared" ref="I12:P12" si="1">(((I27*100/I11)*I29)+((I100*100/I11)*I102)+((I104*100/I11)*I106)+((I14*100/I11)*I16))/100</f>
        <v>100.13752384096242</v>
      </c>
      <c r="J12" s="16">
        <f t="shared" si="1"/>
        <v>102.63473932239479</v>
      </c>
      <c r="K12" s="16">
        <f t="shared" si="1"/>
        <v>94.935100403004739</v>
      </c>
      <c r="L12" s="16">
        <f t="shared" si="1"/>
        <v>97.968552454231414</v>
      </c>
      <c r="M12" s="16">
        <f t="shared" si="1"/>
        <v>100.9913747368421</v>
      </c>
      <c r="N12" s="16">
        <f t="shared" si="1"/>
        <v>95.033261823273193</v>
      </c>
      <c r="O12" s="16">
        <f t="shared" si="1"/>
        <v>98.47003286628609</v>
      </c>
      <c r="P12" s="16">
        <f t="shared" si="1"/>
        <v>101.89595696645124</v>
      </c>
    </row>
    <row r="13" spans="2:24" ht="18" customHeight="1">
      <c r="B13" s="20" t="s">
        <v>21</v>
      </c>
      <c r="C13" s="10"/>
      <c r="D13" s="21"/>
      <c r="E13" s="22"/>
      <c r="F13" s="23"/>
      <c r="G13" s="22"/>
      <c r="H13" s="24"/>
      <c r="I13" s="24"/>
      <c r="J13" s="24"/>
      <c r="K13" s="24"/>
      <c r="L13" s="24"/>
      <c r="M13" s="24"/>
      <c r="N13" s="24"/>
      <c r="O13" s="24"/>
      <c r="P13" s="24"/>
    </row>
    <row r="14" spans="2:24" ht="56.25">
      <c r="B14" s="25" t="s">
        <v>22</v>
      </c>
      <c r="C14" s="10" t="s">
        <v>18</v>
      </c>
      <c r="D14" s="21">
        <v>186.59280000000001</v>
      </c>
      <c r="E14" s="21">
        <v>126.1054</v>
      </c>
      <c r="F14" s="26">
        <f>F11-F27-F100-F104</f>
        <v>55.018999999999636</v>
      </c>
      <c r="G14" s="22">
        <v>70.900549999999996</v>
      </c>
      <c r="H14" s="22">
        <f>ROUND(G14*H15*H16/10000,1)</f>
        <v>65.8</v>
      </c>
      <c r="I14" s="22">
        <f>ROUND(G14*I15*I16/10000,1)</f>
        <v>72.8</v>
      </c>
      <c r="J14" s="22">
        <f t="shared" ref="J14:P14" si="2">ROUND(G14*J15*J16/10000,1)</f>
        <v>74.599999999999994</v>
      </c>
      <c r="K14" s="22">
        <f t="shared" si="2"/>
        <v>64.599999999999994</v>
      </c>
      <c r="L14" s="22">
        <f t="shared" si="2"/>
        <v>73.900000000000006</v>
      </c>
      <c r="M14" s="22">
        <f t="shared" si="2"/>
        <v>78.099999999999994</v>
      </c>
      <c r="N14" s="22">
        <f t="shared" si="2"/>
        <v>63.6</v>
      </c>
      <c r="O14" s="22">
        <f t="shared" si="2"/>
        <v>75.599999999999994</v>
      </c>
      <c r="P14" s="22">
        <f t="shared" si="2"/>
        <v>82.6</v>
      </c>
    </row>
    <row r="15" spans="2:24" ht="40.5" customHeight="1">
      <c r="B15" s="25" t="s">
        <v>23</v>
      </c>
      <c r="C15" s="10" t="s">
        <v>24</v>
      </c>
      <c r="D15" s="21"/>
      <c r="E15" s="22">
        <v>127.5</v>
      </c>
      <c r="F15" s="27">
        <v>104.7</v>
      </c>
      <c r="G15" s="22">
        <v>104.72905336007325</v>
      </c>
      <c r="H15" s="28">
        <v>95.134748453153648</v>
      </c>
      <c r="I15" s="29">
        <v>102.51254735156017</v>
      </c>
      <c r="J15" s="29">
        <f>I15</f>
        <v>102.51254735156017</v>
      </c>
      <c r="K15" s="28">
        <v>103.5</v>
      </c>
      <c r="L15" s="28">
        <v>103.73882119597155</v>
      </c>
      <c r="M15" s="28">
        <f>L15</f>
        <v>103.73882119597155</v>
      </c>
      <c r="N15" s="28">
        <v>103.7</v>
      </c>
      <c r="O15" s="28">
        <v>103.90305307074227</v>
      </c>
      <c r="P15" s="28">
        <f>O15</f>
        <v>103.90305307074227</v>
      </c>
    </row>
    <row r="16" spans="2:24" ht="56.25">
      <c r="B16" s="25" t="s">
        <v>25</v>
      </c>
      <c r="C16" s="10" t="s">
        <v>20</v>
      </c>
      <c r="D16" s="21"/>
      <c r="E16" s="22">
        <f>E14/D14/E15*10000</f>
        <v>53.006437589462919</v>
      </c>
      <c r="F16" s="23">
        <v>53.7</v>
      </c>
      <c r="G16" s="22">
        <f>G14/E14*G15</f>
        <v>58.882073917600209</v>
      </c>
      <c r="H16" s="29">
        <f>H29</f>
        <v>97.597499999999997</v>
      </c>
      <c r="I16" s="29">
        <f t="shared" ref="I16:P16" si="3">I29</f>
        <v>100.1</v>
      </c>
      <c r="J16" s="29">
        <f t="shared" si="3"/>
        <v>102.60250000000001</v>
      </c>
      <c r="K16" s="29">
        <f t="shared" si="3"/>
        <v>94.865099999999998</v>
      </c>
      <c r="L16" s="29">
        <f>L29</f>
        <v>97.9</v>
      </c>
      <c r="M16" s="29">
        <f t="shared" si="3"/>
        <v>100.9349</v>
      </c>
      <c r="N16" s="29">
        <f t="shared" si="3"/>
        <v>94.956000000000003</v>
      </c>
      <c r="O16" s="29">
        <f t="shared" si="3"/>
        <v>98.4</v>
      </c>
      <c r="P16" s="29">
        <f t="shared" si="3"/>
        <v>101.84400000000001</v>
      </c>
    </row>
    <row r="17" spans="2:27" s="36" customFormat="1" ht="54" hidden="1" customHeight="1">
      <c r="B17" s="30" t="s">
        <v>26</v>
      </c>
      <c r="C17" s="31" t="s">
        <v>18</v>
      </c>
      <c r="D17" s="32"/>
      <c r="E17" s="33"/>
      <c r="F17" s="23"/>
      <c r="G17" s="34">
        <f>ROUND(E17*G18*G19/10000,1)</f>
        <v>0</v>
      </c>
      <c r="H17" s="35">
        <f>ROUND(G17*H18*H19/10000,1)</f>
        <v>0</v>
      </c>
      <c r="I17" s="35">
        <f>ROUND(G17*I18*I19/10000,1)</f>
        <v>0</v>
      </c>
      <c r="J17" s="35">
        <f t="shared" ref="J17:P17" si="4">ROUND(G17*J18*J19/10000,1)</f>
        <v>0</v>
      </c>
      <c r="K17" s="35">
        <f t="shared" si="4"/>
        <v>0</v>
      </c>
      <c r="L17" s="35">
        <f t="shared" si="4"/>
        <v>0</v>
      </c>
      <c r="M17" s="35">
        <f t="shared" si="4"/>
        <v>0</v>
      </c>
      <c r="N17" s="35">
        <f t="shared" si="4"/>
        <v>0</v>
      </c>
      <c r="O17" s="35">
        <f t="shared" si="4"/>
        <v>0</v>
      </c>
      <c r="P17" s="35">
        <f t="shared" si="4"/>
        <v>0</v>
      </c>
    </row>
    <row r="18" spans="2:27" s="36" customFormat="1" ht="36" hidden="1" customHeight="1">
      <c r="B18" s="30" t="s">
        <v>27</v>
      </c>
      <c r="C18" s="31" t="s">
        <v>24</v>
      </c>
      <c r="D18" s="32"/>
      <c r="E18" s="33"/>
      <c r="F18" s="23"/>
      <c r="G18" s="37">
        <v>104.3</v>
      </c>
      <c r="H18" s="38">
        <v>93.81368513928058</v>
      </c>
      <c r="I18" s="39">
        <v>102.2</v>
      </c>
      <c r="J18" s="39">
        <f>I18</f>
        <v>102.2</v>
      </c>
      <c r="K18" s="38">
        <v>103.2</v>
      </c>
      <c r="L18" s="38">
        <v>103.5</v>
      </c>
      <c r="M18" s="38">
        <f>L18</f>
        <v>103.5</v>
      </c>
      <c r="N18" s="39">
        <v>103.44285455027492</v>
      </c>
      <c r="O18" s="38">
        <v>103.4</v>
      </c>
      <c r="P18" s="38">
        <f>O18</f>
        <v>103.4</v>
      </c>
    </row>
    <row r="19" spans="2:27" s="36" customFormat="1" ht="36" hidden="1" customHeight="1">
      <c r="B19" s="30" t="s">
        <v>28</v>
      </c>
      <c r="C19" s="31" t="s">
        <v>20</v>
      </c>
      <c r="D19" s="32"/>
      <c r="E19" s="33"/>
      <c r="F19" s="23"/>
      <c r="G19" s="34"/>
      <c r="H19" s="35"/>
      <c r="I19" s="35"/>
      <c r="J19" s="35"/>
      <c r="K19" s="35"/>
      <c r="L19" s="35"/>
      <c r="M19" s="35"/>
      <c r="N19" s="35"/>
      <c r="O19" s="35"/>
      <c r="P19" s="35"/>
    </row>
    <row r="20" spans="2:27" s="36" customFormat="1" ht="54" hidden="1" customHeight="1">
      <c r="B20" s="30" t="s">
        <v>29</v>
      </c>
      <c r="C20" s="31" t="s">
        <v>18</v>
      </c>
      <c r="D20" s="32"/>
      <c r="E20" s="33"/>
      <c r="F20" s="23"/>
      <c r="G20" s="34">
        <f>ROUND(E20*G21*G22/10000,1)</f>
        <v>0</v>
      </c>
      <c r="H20" s="34">
        <f>ROUND(G20*H21*H22/10000,1)</f>
        <v>0</v>
      </c>
      <c r="I20" s="34">
        <f>ROUND(G20*I21*I22/10000,1)</f>
        <v>0</v>
      </c>
      <c r="J20" s="34">
        <f t="shared" ref="J20:P20" si="5">ROUND(G20*J21*J22/10000,1)</f>
        <v>0</v>
      </c>
      <c r="K20" s="34">
        <f t="shared" si="5"/>
        <v>0</v>
      </c>
      <c r="L20" s="34">
        <f t="shared" si="5"/>
        <v>0</v>
      </c>
      <c r="M20" s="34">
        <f t="shared" si="5"/>
        <v>0</v>
      </c>
      <c r="N20" s="34">
        <f t="shared" si="5"/>
        <v>0</v>
      </c>
      <c r="O20" s="34">
        <f t="shared" si="5"/>
        <v>0</v>
      </c>
      <c r="P20" s="34">
        <f t="shared" si="5"/>
        <v>0</v>
      </c>
    </row>
    <row r="21" spans="2:27" s="36" customFormat="1" ht="36" hidden="1" customHeight="1">
      <c r="B21" s="30" t="s">
        <v>30</v>
      </c>
      <c r="C21" s="31" t="s">
        <v>24</v>
      </c>
      <c r="D21" s="32"/>
      <c r="E21" s="33"/>
      <c r="F21" s="23"/>
      <c r="G21" s="34">
        <v>104.3</v>
      </c>
      <c r="H21" s="34">
        <v>93.81368513928058</v>
      </c>
      <c r="I21" s="34">
        <v>102.2</v>
      </c>
      <c r="J21" s="34">
        <f>I21</f>
        <v>102.2</v>
      </c>
      <c r="K21" s="34">
        <v>103.2</v>
      </c>
      <c r="L21" s="34">
        <v>103.5</v>
      </c>
      <c r="M21" s="34">
        <f>L21</f>
        <v>103.5</v>
      </c>
      <c r="N21" s="34">
        <v>103.44285455027492</v>
      </c>
      <c r="O21" s="34">
        <v>103.4</v>
      </c>
      <c r="P21" s="34">
        <f>O21</f>
        <v>103.4</v>
      </c>
    </row>
    <row r="22" spans="2:27" s="36" customFormat="1" ht="36" hidden="1" customHeight="1">
      <c r="B22" s="30" t="s">
        <v>31</v>
      </c>
      <c r="C22" s="31" t="s">
        <v>20</v>
      </c>
      <c r="D22" s="32"/>
      <c r="E22" s="33"/>
      <c r="F22" s="23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2:27" s="36" customFormat="1" ht="54" hidden="1" customHeight="1">
      <c r="B23" s="30" t="s">
        <v>32</v>
      </c>
      <c r="C23" s="31" t="s">
        <v>18</v>
      </c>
      <c r="D23" s="32"/>
      <c r="E23" s="33"/>
      <c r="F23" s="23"/>
      <c r="G23" s="34">
        <f>ROUND(E23*G24*G25/10000,1)</f>
        <v>0</v>
      </c>
      <c r="H23" s="34">
        <f>ROUND(G23*H24*H25/10000,1)</f>
        <v>0</v>
      </c>
      <c r="I23" s="34">
        <f>ROUND(G23*I24*I25/10000,1)</f>
        <v>0</v>
      </c>
      <c r="J23" s="34">
        <f t="shared" ref="J23:P23" si="6">ROUND(G23*J24*J25/10000,1)</f>
        <v>0</v>
      </c>
      <c r="K23" s="34">
        <f t="shared" si="6"/>
        <v>0</v>
      </c>
      <c r="L23" s="34">
        <f t="shared" si="6"/>
        <v>0</v>
      </c>
      <c r="M23" s="34">
        <f t="shared" si="6"/>
        <v>0</v>
      </c>
      <c r="N23" s="34">
        <f t="shared" si="6"/>
        <v>0</v>
      </c>
      <c r="O23" s="34">
        <f t="shared" si="6"/>
        <v>0</v>
      </c>
      <c r="P23" s="34">
        <f t="shared" si="6"/>
        <v>0</v>
      </c>
    </row>
    <row r="24" spans="2:27" s="36" customFormat="1" ht="36" hidden="1" customHeight="1">
      <c r="B24" s="30" t="s">
        <v>33</v>
      </c>
      <c r="C24" s="31" t="s">
        <v>24</v>
      </c>
      <c r="D24" s="32"/>
      <c r="E24" s="33"/>
      <c r="F24" s="23"/>
      <c r="G24" s="34">
        <v>104.3</v>
      </c>
      <c r="H24" s="34">
        <v>93.81368513928058</v>
      </c>
      <c r="I24" s="34">
        <v>102.2</v>
      </c>
      <c r="J24" s="34">
        <f>I24</f>
        <v>102.2</v>
      </c>
      <c r="K24" s="34">
        <v>103.2</v>
      </c>
      <c r="L24" s="34">
        <v>103.5</v>
      </c>
      <c r="M24" s="34">
        <f>L24</f>
        <v>103.5</v>
      </c>
      <c r="N24" s="34">
        <v>103.44285455027492</v>
      </c>
      <c r="O24" s="34">
        <v>103.4</v>
      </c>
      <c r="P24" s="34">
        <f>O24</f>
        <v>103.4</v>
      </c>
    </row>
    <row r="25" spans="2:27" s="36" customFormat="1" ht="36" hidden="1" customHeight="1">
      <c r="B25" s="30" t="s">
        <v>34</v>
      </c>
      <c r="C25" s="31" t="s">
        <v>20</v>
      </c>
      <c r="D25" s="32"/>
      <c r="E25" s="33"/>
      <c r="F25" s="23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2:27" ht="18" customHeight="1">
      <c r="B26" s="40" t="s">
        <v>35</v>
      </c>
      <c r="C26" s="11"/>
      <c r="D26" s="21"/>
      <c r="E26" s="22"/>
      <c r="F26" s="23"/>
      <c r="G26" s="22"/>
      <c r="H26" s="22"/>
      <c r="I26" s="22"/>
      <c r="J26" s="22"/>
      <c r="K26" s="22"/>
      <c r="L26" s="22"/>
      <c r="M26" s="22"/>
      <c r="N26" s="22"/>
      <c r="O26" s="22"/>
      <c r="P26" s="22"/>
      <c r="R26" s="41"/>
      <c r="S26" s="42"/>
      <c r="T26" s="43"/>
      <c r="U26" s="43"/>
      <c r="V26" s="43"/>
      <c r="W26" s="43"/>
      <c r="X26" s="43"/>
      <c r="Y26" s="43"/>
      <c r="Z26" s="43"/>
      <c r="AA26" s="43"/>
    </row>
    <row r="27" spans="2:27" ht="56.25">
      <c r="B27" s="25" t="s">
        <v>36</v>
      </c>
      <c r="C27" s="11" t="s">
        <v>18</v>
      </c>
      <c r="D27" s="21">
        <f>E27*100/104.6</f>
        <v>9532.6414913957942</v>
      </c>
      <c r="E27" s="21">
        <v>9971.143</v>
      </c>
      <c r="F27" s="17">
        <v>5238.5486000000001</v>
      </c>
      <c r="G27" s="22">
        <f>ROUND(E27*G28*G29/10000,1)</f>
        <v>10341.6</v>
      </c>
      <c r="H27" s="22">
        <f>ROUND(G27*H28*H29/10000,1)</f>
        <v>10368</v>
      </c>
      <c r="I27" s="22">
        <f>ROUND(G27*I28*I29/10000,1)</f>
        <v>10722.2</v>
      </c>
      <c r="J27" s="22">
        <f t="shared" ref="J27:P27" si="7">ROUND(G27*J28*J29/10000,1)</f>
        <v>10990.3</v>
      </c>
      <c r="K27" s="22">
        <f t="shared" si="7"/>
        <v>10219.200000000001</v>
      </c>
      <c r="L27" s="22">
        <f t="shared" si="7"/>
        <v>11009.2</v>
      </c>
      <c r="M27" s="22">
        <f t="shared" si="7"/>
        <v>11634.3</v>
      </c>
      <c r="N27" s="22">
        <f t="shared" si="7"/>
        <v>10101.6</v>
      </c>
      <c r="O27" s="22">
        <f t="shared" si="7"/>
        <v>11355.8</v>
      </c>
      <c r="P27" s="22">
        <f t="shared" si="7"/>
        <v>12420.6</v>
      </c>
      <c r="R27" s="41"/>
      <c r="S27" s="41"/>
      <c r="T27" s="43"/>
      <c r="U27" s="43"/>
      <c r="V27" s="43"/>
      <c r="W27" s="43"/>
      <c r="X27" s="43"/>
      <c r="Y27" s="43"/>
      <c r="Z27" s="43"/>
      <c r="AA27" s="43"/>
    </row>
    <row r="28" spans="2:27" ht="37.5">
      <c r="B28" s="44" t="s">
        <v>37</v>
      </c>
      <c r="C28" s="11" t="s">
        <v>24</v>
      </c>
      <c r="D28" s="21"/>
      <c r="E28" s="22">
        <v>112.3</v>
      </c>
      <c r="F28" s="27">
        <v>104.6</v>
      </c>
      <c r="G28" s="29">
        <v>104.55219049286195</v>
      </c>
      <c r="H28" s="45">
        <v>102.7232986291029</v>
      </c>
      <c r="I28" s="29">
        <v>103.57683787704173</v>
      </c>
      <c r="J28" s="29">
        <f>I28</f>
        <v>103.57683787704173</v>
      </c>
      <c r="K28" s="45">
        <v>103.9</v>
      </c>
      <c r="L28" s="45">
        <v>104.87880406860157</v>
      </c>
      <c r="M28" s="45">
        <f>L28</f>
        <v>104.87880406860157</v>
      </c>
      <c r="N28" s="45">
        <v>104.1</v>
      </c>
      <c r="O28" s="45">
        <v>104.82588115882665</v>
      </c>
      <c r="P28" s="45">
        <f>O28</f>
        <v>104.82588115882665</v>
      </c>
      <c r="R28" s="41"/>
      <c r="S28" s="41"/>
      <c r="T28" s="43"/>
      <c r="U28" s="43"/>
      <c r="V28" s="43"/>
      <c r="W28" s="43"/>
      <c r="X28" s="43"/>
      <c r="Y28" s="43"/>
      <c r="Z28" s="43"/>
      <c r="AA28" s="43"/>
    </row>
    <row r="29" spans="2:27" ht="56.25">
      <c r="B29" s="44" t="s">
        <v>38</v>
      </c>
      <c r="C29" s="11" t="s">
        <v>20</v>
      </c>
      <c r="D29" s="21"/>
      <c r="E29" s="22">
        <f>E27/D27/E28*10000</f>
        <v>93.143365983971492</v>
      </c>
      <c r="F29" s="23">
        <v>97.4</v>
      </c>
      <c r="G29" s="22">
        <v>99.2</v>
      </c>
      <c r="H29" s="22">
        <f>I29*97.5/100</f>
        <v>97.597499999999997</v>
      </c>
      <c r="I29" s="22">
        <v>100.1</v>
      </c>
      <c r="J29" s="22">
        <f>I29*102.5/100</f>
        <v>102.60250000000001</v>
      </c>
      <c r="K29" s="22">
        <f>L29*96.9/100</f>
        <v>94.865099999999998</v>
      </c>
      <c r="L29" s="22">
        <v>97.9</v>
      </c>
      <c r="M29" s="22">
        <f>L29*103.1/100</f>
        <v>100.9349</v>
      </c>
      <c r="N29" s="22">
        <f>O29*96.5/100</f>
        <v>94.956000000000003</v>
      </c>
      <c r="O29" s="22">
        <v>98.4</v>
      </c>
      <c r="P29" s="22">
        <f>O29*103.5/100</f>
        <v>101.84400000000001</v>
      </c>
      <c r="R29" s="41"/>
      <c r="S29" s="41"/>
      <c r="T29" s="43"/>
      <c r="U29" s="43"/>
      <c r="V29" s="43"/>
      <c r="W29" s="43"/>
      <c r="X29" s="43"/>
      <c r="Y29" s="43"/>
      <c r="Z29" s="43"/>
      <c r="AA29" s="43"/>
    </row>
    <row r="30" spans="2:27" s="36" customFormat="1" ht="54" hidden="1" customHeight="1">
      <c r="B30" s="30" t="s">
        <v>39</v>
      </c>
      <c r="C30" s="31" t="s">
        <v>18</v>
      </c>
      <c r="D30" s="32"/>
      <c r="E30" s="33"/>
      <c r="F30" s="23">
        <v>2175.1806000000001</v>
      </c>
      <c r="G30" s="34">
        <f>ROUND(E30*G31*G32/10000,1)</f>
        <v>0</v>
      </c>
      <c r="H30" s="34">
        <f>ROUND(G30*H31*H32/10000,1)</f>
        <v>0</v>
      </c>
      <c r="I30" s="34">
        <f>ROUND(G30*I31*I32/10000,1)</f>
        <v>0</v>
      </c>
      <c r="J30" s="34">
        <f t="shared" ref="J30:P30" si="8">ROUND(G30*J31*J32/10000,1)</f>
        <v>0</v>
      </c>
      <c r="K30" s="34">
        <f t="shared" si="8"/>
        <v>0</v>
      </c>
      <c r="L30" s="34">
        <f t="shared" si="8"/>
        <v>0</v>
      </c>
      <c r="M30" s="34">
        <f t="shared" si="8"/>
        <v>0</v>
      </c>
      <c r="N30" s="34">
        <f t="shared" si="8"/>
        <v>0</v>
      </c>
      <c r="O30" s="34">
        <f t="shared" si="8"/>
        <v>0</v>
      </c>
      <c r="P30" s="34">
        <f t="shared" si="8"/>
        <v>0</v>
      </c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2:27" s="36" customFormat="1" ht="18" hidden="1" customHeight="1">
      <c r="B31" s="30" t="s">
        <v>40</v>
      </c>
      <c r="C31" s="31" t="s">
        <v>24</v>
      </c>
      <c r="D31" s="18"/>
      <c r="E31" s="34">
        <v>101.1</v>
      </c>
      <c r="F31" s="23">
        <v>105.7</v>
      </c>
      <c r="G31" s="47">
        <v>105.68909924596252</v>
      </c>
      <c r="H31" s="48">
        <v>103.5</v>
      </c>
      <c r="I31" s="48">
        <v>104.04982959278985</v>
      </c>
      <c r="J31" s="48">
        <f>I31</f>
        <v>104.04982959278985</v>
      </c>
      <c r="K31" s="48">
        <v>103.4</v>
      </c>
      <c r="L31" s="48">
        <v>104.01423089570964</v>
      </c>
      <c r="M31" s="48">
        <f>L31</f>
        <v>104.01423089570964</v>
      </c>
      <c r="N31" s="48">
        <v>103.6</v>
      </c>
      <c r="O31" s="48">
        <v>103.88335850175041</v>
      </c>
      <c r="P31" s="48">
        <f>O31</f>
        <v>103.88335850175041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2:27" s="36" customFormat="1" ht="36" hidden="1" customHeight="1">
      <c r="B32" s="30" t="s">
        <v>41</v>
      </c>
      <c r="C32" s="31" t="s">
        <v>20</v>
      </c>
      <c r="D32" s="32"/>
      <c r="E32" s="34" t="e">
        <f>E30/D30/E31*10000</f>
        <v>#DIV/0!</v>
      </c>
      <c r="F32" s="23" t="e">
        <f>F30*4/E30/F31*10000</f>
        <v>#DIV/0!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2:27" s="36" customFormat="1" ht="54" hidden="1" customHeight="1">
      <c r="B33" s="49" t="s">
        <v>42</v>
      </c>
      <c r="C33" s="31" t="s">
        <v>18</v>
      </c>
      <c r="D33" s="32"/>
      <c r="E33" s="33"/>
      <c r="F33" s="23"/>
      <c r="G33" s="34">
        <f>ROUND(E33*G34*G35/10000,1)</f>
        <v>0</v>
      </c>
      <c r="H33" s="34">
        <f>ROUND(G33*H34*H35/10000,1)</f>
        <v>0</v>
      </c>
      <c r="I33" s="34">
        <f>ROUND(G33*I34*I35/10000,1)</f>
        <v>0</v>
      </c>
      <c r="J33" s="34">
        <f t="shared" ref="J33:P33" si="9">ROUND(G33*J34*J35/10000,1)</f>
        <v>0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34">
        <f t="shared" si="9"/>
        <v>0</v>
      </c>
      <c r="O33" s="34">
        <f t="shared" si="9"/>
        <v>0</v>
      </c>
      <c r="P33" s="34">
        <f t="shared" si="9"/>
        <v>0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2:27" s="36" customFormat="1" ht="18" hidden="1" customHeight="1">
      <c r="B34" s="49" t="s">
        <v>43</v>
      </c>
      <c r="C34" s="31" t="s">
        <v>24</v>
      </c>
      <c r="D34" s="32"/>
      <c r="E34" s="33"/>
      <c r="F34" s="23"/>
      <c r="G34" s="34">
        <v>105.68909924596252</v>
      </c>
      <c r="H34" s="34">
        <v>103.5</v>
      </c>
      <c r="I34" s="34">
        <v>104.04982959278985</v>
      </c>
      <c r="J34" s="34">
        <f>I34</f>
        <v>104.04982959278985</v>
      </c>
      <c r="K34" s="34">
        <v>103.4</v>
      </c>
      <c r="L34" s="34">
        <v>104.01423089570964</v>
      </c>
      <c r="M34" s="34">
        <f>L34</f>
        <v>104.01423089570964</v>
      </c>
      <c r="N34" s="34">
        <v>103.6</v>
      </c>
      <c r="O34" s="34">
        <v>103.88335850175041</v>
      </c>
      <c r="P34" s="34">
        <f>O34</f>
        <v>103.88335850175041</v>
      </c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2:27" s="36" customFormat="1" ht="36" hidden="1" customHeight="1">
      <c r="B35" s="49" t="s">
        <v>44</v>
      </c>
      <c r="C35" s="31" t="s">
        <v>20</v>
      </c>
      <c r="D35" s="32"/>
      <c r="E35" s="33"/>
      <c r="F35" s="23"/>
      <c r="G35" s="34"/>
      <c r="H35" s="34"/>
      <c r="I35" s="34"/>
      <c r="J35" s="34"/>
      <c r="K35" s="34"/>
      <c r="L35" s="34"/>
      <c r="M35" s="34"/>
      <c r="N35" s="34"/>
      <c r="O35" s="34"/>
      <c r="P35" s="34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2:27" s="36" customFormat="1" ht="54" hidden="1" customHeight="1">
      <c r="B36" s="49" t="s">
        <v>45</v>
      </c>
      <c r="C36" s="31" t="s">
        <v>18</v>
      </c>
      <c r="D36" s="32"/>
      <c r="E36" s="33"/>
      <c r="F36" s="23"/>
      <c r="G36" s="34">
        <f>ROUND(E36*G37*G38/10000,1)</f>
        <v>0</v>
      </c>
      <c r="H36" s="34">
        <f>ROUND(G36*H37*H38/10000,1)</f>
        <v>0</v>
      </c>
      <c r="I36" s="34">
        <f>ROUND(G36*I37*I38/10000,1)</f>
        <v>0</v>
      </c>
      <c r="J36" s="34">
        <f t="shared" ref="J36:P36" si="10">ROUND(G36*J37*J38/10000,1)</f>
        <v>0</v>
      </c>
      <c r="K36" s="34">
        <f t="shared" si="10"/>
        <v>0</v>
      </c>
      <c r="L36" s="34">
        <f t="shared" si="10"/>
        <v>0</v>
      </c>
      <c r="M36" s="34">
        <f t="shared" si="10"/>
        <v>0</v>
      </c>
      <c r="N36" s="34">
        <f t="shared" si="10"/>
        <v>0</v>
      </c>
      <c r="O36" s="34">
        <f t="shared" si="10"/>
        <v>0</v>
      </c>
      <c r="P36" s="34">
        <f t="shared" si="10"/>
        <v>0</v>
      </c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2:27" s="36" customFormat="1" ht="18" hidden="1" customHeight="1">
      <c r="B37" s="49" t="s">
        <v>46</v>
      </c>
      <c r="C37" s="31" t="s">
        <v>24</v>
      </c>
      <c r="D37" s="32"/>
      <c r="E37" s="33"/>
      <c r="F37" s="23"/>
      <c r="G37" s="47">
        <v>104.61812984317369</v>
      </c>
      <c r="H37" s="48">
        <v>103.4</v>
      </c>
      <c r="I37" s="48">
        <v>103.70572815024879</v>
      </c>
      <c r="J37" s="48">
        <f>I37</f>
        <v>103.70572815024879</v>
      </c>
      <c r="K37" s="48">
        <v>103.505100612747</v>
      </c>
      <c r="L37" s="47">
        <v>103.52487884166011</v>
      </c>
      <c r="M37" s="47">
        <f>L37</f>
        <v>103.52487884166011</v>
      </c>
      <c r="N37" s="48">
        <v>103.4398175200398</v>
      </c>
      <c r="O37" s="47">
        <v>103.55722467985038</v>
      </c>
      <c r="P37" s="47">
        <f>O37</f>
        <v>103.55722467985038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2:27" s="36" customFormat="1" ht="18" hidden="1" customHeight="1">
      <c r="B38" s="49" t="s">
        <v>47</v>
      </c>
      <c r="C38" s="31" t="s">
        <v>24</v>
      </c>
      <c r="D38" s="32"/>
      <c r="E38" s="33"/>
      <c r="F38" s="23"/>
      <c r="G38" s="34"/>
      <c r="H38" s="34"/>
      <c r="I38" s="34"/>
      <c r="J38" s="34"/>
      <c r="K38" s="34"/>
      <c r="L38" s="34"/>
      <c r="M38" s="34"/>
      <c r="N38" s="34"/>
      <c r="O38" s="34"/>
      <c r="P38" s="34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2:27" s="36" customFormat="1" ht="54" hidden="1" customHeight="1">
      <c r="B39" s="49" t="s">
        <v>48</v>
      </c>
      <c r="C39" s="31" t="s">
        <v>18</v>
      </c>
      <c r="D39" s="32"/>
      <c r="E39" s="33"/>
      <c r="F39" s="23"/>
      <c r="G39" s="34">
        <f>ROUND(E39*G40*G41/10000,1)</f>
        <v>0</v>
      </c>
      <c r="H39" s="34">
        <f>ROUND(G39*H40*H41/10000,1)</f>
        <v>0</v>
      </c>
      <c r="I39" s="34">
        <f>ROUND(G39*I40*I41/10000,1)</f>
        <v>0</v>
      </c>
      <c r="J39" s="34">
        <f t="shared" ref="J39:P39" si="11">ROUND(G39*J40*J41/10000,1)</f>
        <v>0</v>
      </c>
      <c r="K39" s="34">
        <f t="shared" si="11"/>
        <v>0</v>
      </c>
      <c r="L39" s="34">
        <f t="shared" si="11"/>
        <v>0</v>
      </c>
      <c r="M39" s="34">
        <f t="shared" si="11"/>
        <v>0</v>
      </c>
      <c r="N39" s="34">
        <f t="shared" si="11"/>
        <v>0</v>
      </c>
      <c r="O39" s="34">
        <f t="shared" si="11"/>
        <v>0</v>
      </c>
      <c r="P39" s="34">
        <f t="shared" si="11"/>
        <v>0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2:27" s="36" customFormat="1" ht="18" hidden="1" customHeight="1">
      <c r="B40" s="49" t="s">
        <v>49</v>
      </c>
      <c r="C40" s="31" t="s">
        <v>24</v>
      </c>
      <c r="D40" s="32"/>
      <c r="E40" s="33"/>
      <c r="F40" s="23"/>
      <c r="G40" s="34">
        <v>104.61812984317369</v>
      </c>
      <c r="H40" s="34">
        <v>103.4</v>
      </c>
      <c r="I40" s="34">
        <v>103.70572815024879</v>
      </c>
      <c r="J40" s="34">
        <f>I40</f>
        <v>103.70572815024879</v>
      </c>
      <c r="K40" s="34">
        <v>103.505100612747</v>
      </c>
      <c r="L40" s="34">
        <v>103.52487884166011</v>
      </c>
      <c r="M40" s="34">
        <f>L40</f>
        <v>103.52487884166011</v>
      </c>
      <c r="N40" s="34">
        <v>103.4398175200398</v>
      </c>
      <c r="O40" s="34">
        <v>103.55722467985038</v>
      </c>
      <c r="P40" s="34">
        <f>O40</f>
        <v>103.55722467985038</v>
      </c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2:27" s="36" customFormat="1" ht="36" hidden="1" customHeight="1">
      <c r="B41" s="49" t="s">
        <v>50</v>
      </c>
      <c r="C41" s="31" t="s">
        <v>20</v>
      </c>
      <c r="D41" s="32"/>
      <c r="E41" s="33"/>
      <c r="F41" s="23"/>
      <c r="G41" s="34"/>
      <c r="H41" s="34"/>
      <c r="I41" s="34"/>
      <c r="J41" s="34"/>
      <c r="K41" s="34"/>
      <c r="L41" s="34"/>
      <c r="M41" s="34"/>
      <c r="N41" s="34"/>
      <c r="O41" s="34"/>
      <c r="P41" s="34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2:27" s="36" customFormat="1" ht="54" hidden="1" customHeight="1">
      <c r="B42" s="49" t="s">
        <v>51</v>
      </c>
      <c r="C42" s="31" t="s">
        <v>18</v>
      </c>
      <c r="D42" s="32"/>
      <c r="E42" s="33"/>
      <c r="F42" s="23"/>
      <c r="G42" s="34">
        <f>ROUND(E42*G43*G44/10000,1)</f>
        <v>0</v>
      </c>
      <c r="H42" s="34">
        <f>ROUND(G42*H43*H44/10000,1)</f>
        <v>0</v>
      </c>
      <c r="I42" s="34">
        <f>ROUND(G42*I43*I44/10000,1)</f>
        <v>0</v>
      </c>
      <c r="J42" s="34">
        <f t="shared" ref="J42:P42" si="12">ROUND(G42*J43*J44/10000,1)</f>
        <v>0</v>
      </c>
      <c r="K42" s="34">
        <f t="shared" si="12"/>
        <v>0</v>
      </c>
      <c r="L42" s="34">
        <f t="shared" si="12"/>
        <v>0</v>
      </c>
      <c r="M42" s="34">
        <f t="shared" si="12"/>
        <v>0</v>
      </c>
      <c r="N42" s="34">
        <f t="shared" si="12"/>
        <v>0</v>
      </c>
      <c r="O42" s="34">
        <f t="shared" si="12"/>
        <v>0</v>
      </c>
      <c r="P42" s="34">
        <f t="shared" si="12"/>
        <v>0</v>
      </c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2:27" s="36" customFormat="1" ht="36" hidden="1" customHeight="1">
      <c r="B43" s="49" t="s">
        <v>52</v>
      </c>
      <c r="C43" s="31" t="s">
        <v>24</v>
      </c>
      <c r="D43" s="32"/>
      <c r="E43" s="33"/>
      <c r="F43" s="23"/>
      <c r="G43" s="34">
        <v>104.61812984317369</v>
      </c>
      <c r="H43" s="34">
        <v>103.4</v>
      </c>
      <c r="I43" s="34">
        <v>103.70572815024879</v>
      </c>
      <c r="J43" s="34">
        <f>I43</f>
        <v>103.70572815024879</v>
      </c>
      <c r="K43" s="34">
        <v>103.505100612747</v>
      </c>
      <c r="L43" s="34">
        <v>103.52487884166011</v>
      </c>
      <c r="M43" s="34">
        <f>L43</f>
        <v>103.52487884166011</v>
      </c>
      <c r="N43" s="34">
        <v>103.4398175200398</v>
      </c>
      <c r="O43" s="34">
        <v>103.55722467985038</v>
      </c>
      <c r="P43" s="34">
        <f>O43</f>
        <v>103.55722467985038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2:27" s="36" customFormat="1" ht="36" hidden="1" customHeight="1">
      <c r="B44" s="49" t="s">
        <v>53</v>
      </c>
      <c r="C44" s="31" t="s">
        <v>20</v>
      </c>
      <c r="D44" s="32"/>
      <c r="E44" s="33"/>
      <c r="F44" s="23"/>
      <c r="G44" s="34"/>
      <c r="H44" s="34"/>
      <c r="I44" s="34"/>
      <c r="J44" s="34"/>
      <c r="K44" s="34"/>
      <c r="L44" s="34"/>
      <c r="M44" s="34"/>
      <c r="N44" s="34"/>
      <c r="O44" s="34"/>
      <c r="P44" s="34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2:27" s="36" customFormat="1" ht="90" hidden="1" customHeight="1">
      <c r="B45" s="49" t="s">
        <v>54</v>
      </c>
      <c r="C45" s="31" t="s">
        <v>18</v>
      </c>
      <c r="D45" s="32"/>
      <c r="E45" s="33"/>
      <c r="F45" s="23"/>
      <c r="G45" s="34">
        <f>ROUND(E45*G46*G47/10000,1)</f>
        <v>0</v>
      </c>
      <c r="H45" s="34">
        <f>ROUND(G45*H46*H47/10000,1)</f>
        <v>0</v>
      </c>
      <c r="I45" s="34">
        <f>ROUND(G45*I46*I47/10000,1)</f>
        <v>0</v>
      </c>
      <c r="J45" s="34">
        <f t="shared" ref="J45:P45" si="13">ROUND(G45*J46*J47/10000,1)</f>
        <v>0</v>
      </c>
      <c r="K45" s="34">
        <f t="shared" si="13"/>
        <v>0</v>
      </c>
      <c r="L45" s="34">
        <f t="shared" si="13"/>
        <v>0</v>
      </c>
      <c r="M45" s="34">
        <f t="shared" si="13"/>
        <v>0</v>
      </c>
      <c r="N45" s="34">
        <f t="shared" si="13"/>
        <v>0</v>
      </c>
      <c r="O45" s="34">
        <f t="shared" si="13"/>
        <v>0</v>
      </c>
      <c r="P45" s="34">
        <f t="shared" si="13"/>
        <v>0</v>
      </c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2:27" s="36" customFormat="1" ht="54" hidden="1" customHeight="1">
      <c r="B46" s="49" t="s">
        <v>55</v>
      </c>
      <c r="C46" s="31" t="s">
        <v>24</v>
      </c>
      <c r="D46" s="32"/>
      <c r="E46" s="33"/>
      <c r="F46" s="23"/>
      <c r="G46" s="47">
        <v>105.35876585670059</v>
      </c>
      <c r="H46" s="48">
        <v>104.9</v>
      </c>
      <c r="I46" s="48">
        <v>107.11600764768072</v>
      </c>
      <c r="J46" s="48">
        <f>I46</f>
        <v>107.11600764768072</v>
      </c>
      <c r="K46" s="48">
        <v>105.1</v>
      </c>
      <c r="L46" s="48">
        <v>105.47970960487194</v>
      </c>
      <c r="M46" s="48">
        <f>L46</f>
        <v>105.47970960487194</v>
      </c>
      <c r="N46" s="48">
        <v>105.3</v>
      </c>
      <c r="O46" s="48">
        <v>105.35518755837536</v>
      </c>
      <c r="P46" s="48">
        <f>O46</f>
        <v>105.35518755837536</v>
      </c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2:27" s="36" customFormat="1" ht="54" hidden="1" customHeight="1">
      <c r="B47" s="49" t="s">
        <v>56</v>
      </c>
      <c r="C47" s="31" t="s">
        <v>24</v>
      </c>
      <c r="D47" s="32"/>
      <c r="E47" s="33"/>
      <c r="F47" s="23"/>
      <c r="G47" s="34"/>
      <c r="H47" s="34"/>
      <c r="I47" s="34"/>
      <c r="J47" s="34"/>
      <c r="K47" s="34"/>
      <c r="L47" s="34"/>
      <c r="M47" s="34"/>
      <c r="N47" s="34"/>
      <c r="O47" s="34"/>
      <c r="P47" s="34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27" s="36" customFormat="1" ht="54" hidden="1" customHeight="1">
      <c r="B48" s="49" t="s">
        <v>57</v>
      </c>
      <c r="C48" s="31" t="s">
        <v>18</v>
      </c>
      <c r="D48" s="32"/>
      <c r="E48" s="33"/>
      <c r="F48" s="23"/>
      <c r="G48" s="34">
        <f>ROUND(E48*G49*G50/10000,1)</f>
        <v>0</v>
      </c>
      <c r="H48" s="34">
        <f>ROUND(G48*H49*H50/10000,1)</f>
        <v>0</v>
      </c>
      <c r="I48" s="34">
        <f>ROUND(G48*I49*I50/10000,1)</f>
        <v>0</v>
      </c>
      <c r="J48" s="34">
        <f t="shared" ref="J48:P48" si="14">ROUND(G48*J49*J50/10000,1)</f>
        <v>0</v>
      </c>
      <c r="K48" s="34">
        <f t="shared" si="14"/>
        <v>0</v>
      </c>
      <c r="L48" s="34">
        <f t="shared" si="14"/>
        <v>0</v>
      </c>
      <c r="M48" s="34">
        <f t="shared" si="14"/>
        <v>0</v>
      </c>
      <c r="N48" s="34">
        <f t="shared" si="14"/>
        <v>0</v>
      </c>
      <c r="O48" s="34">
        <f t="shared" si="14"/>
        <v>0</v>
      </c>
      <c r="P48" s="34">
        <f t="shared" si="14"/>
        <v>0</v>
      </c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2:27" s="36" customFormat="1" ht="36" hidden="1" customHeight="1">
      <c r="B49" s="49" t="s">
        <v>58</v>
      </c>
      <c r="C49" s="31" t="s">
        <v>24</v>
      </c>
      <c r="D49" s="32"/>
      <c r="E49" s="33"/>
      <c r="F49" s="23"/>
      <c r="G49" s="47">
        <v>109.08725237603501</v>
      </c>
      <c r="H49" s="48">
        <v>105.2</v>
      </c>
      <c r="I49" s="48">
        <v>106.05989446720289</v>
      </c>
      <c r="J49" s="48">
        <f>I49</f>
        <v>106.05989446720289</v>
      </c>
      <c r="K49" s="48">
        <v>105.2</v>
      </c>
      <c r="L49" s="48">
        <v>105.26991231585198</v>
      </c>
      <c r="M49" s="48">
        <f>L49</f>
        <v>105.26991231585198</v>
      </c>
      <c r="N49" s="48">
        <v>105.10279440725505</v>
      </c>
      <c r="O49" s="47">
        <v>105.29573206860847</v>
      </c>
      <c r="P49" s="47">
        <f>O49</f>
        <v>105.29573206860847</v>
      </c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2:27" s="36" customFormat="1" ht="36" hidden="1" customHeight="1">
      <c r="B50" s="49" t="s">
        <v>59</v>
      </c>
      <c r="C50" s="31" t="s">
        <v>20</v>
      </c>
      <c r="D50" s="32"/>
      <c r="E50" s="33"/>
      <c r="F50" s="23"/>
      <c r="G50" s="34"/>
      <c r="H50" s="34"/>
      <c r="I50" s="34"/>
      <c r="J50" s="34"/>
      <c r="K50" s="34"/>
      <c r="L50" s="34"/>
      <c r="M50" s="34"/>
      <c r="N50" s="34"/>
      <c r="O50" s="34"/>
      <c r="P50" s="34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2:27" s="36" customFormat="1" ht="72" hidden="1" customHeight="1">
      <c r="B51" s="49" t="s">
        <v>60</v>
      </c>
      <c r="C51" s="31" t="s">
        <v>18</v>
      </c>
      <c r="D51" s="32"/>
      <c r="E51" s="33"/>
      <c r="F51" s="23"/>
      <c r="G51" s="34">
        <f>ROUND(E51*G52*G53/10000,1)</f>
        <v>0</v>
      </c>
      <c r="H51" s="34">
        <f>ROUND(G51*H52*H53/10000,1)</f>
        <v>0</v>
      </c>
      <c r="I51" s="34">
        <f>ROUND(G51*I52*I53/10000,1)</f>
        <v>0</v>
      </c>
      <c r="J51" s="34">
        <f t="shared" ref="J51:P51" si="15">ROUND(G51*J52*J53/10000,1)</f>
        <v>0</v>
      </c>
      <c r="K51" s="34">
        <f t="shared" si="15"/>
        <v>0</v>
      </c>
      <c r="L51" s="34">
        <f t="shared" si="15"/>
        <v>0</v>
      </c>
      <c r="M51" s="34">
        <f t="shared" si="15"/>
        <v>0</v>
      </c>
      <c r="N51" s="34">
        <f t="shared" si="15"/>
        <v>0</v>
      </c>
      <c r="O51" s="34">
        <f t="shared" si="15"/>
        <v>0</v>
      </c>
      <c r="P51" s="34">
        <f t="shared" si="15"/>
        <v>0</v>
      </c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2:27" s="36" customFormat="1" ht="36" hidden="1" customHeight="1">
      <c r="B52" s="49" t="s">
        <v>61</v>
      </c>
      <c r="C52" s="31" t="s">
        <v>24</v>
      </c>
      <c r="D52" s="32"/>
      <c r="E52" s="33"/>
      <c r="F52" s="23"/>
      <c r="G52" s="34">
        <v>109.08725237603501</v>
      </c>
      <c r="H52" s="34">
        <v>105.2</v>
      </c>
      <c r="I52" s="34">
        <v>106.05989446720289</v>
      </c>
      <c r="J52" s="34">
        <f>I52</f>
        <v>106.05989446720289</v>
      </c>
      <c r="K52" s="34">
        <v>105.2</v>
      </c>
      <c r="L52" s="34">
        <v>105.26991231585198</v>
      </c>
      <c r="M52" s="34">
        <f>L52</f>
        <v>105.26991231585198</v>
      </c>
      <c r="N52" s="34">
        <v>105.10279440725505</v>
      </c>
      <c r="O52" s="34">
        <v>105.29573206860847</v>
      </c>
      <c r="P52" s="34">
        <f>O52</f>
        <v>105.29573206860847</v>
      </c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2:27" s="36" customFormat="1" ht="36" hidden="1" customHeight="1">
      <c r="B53" s="49" t="s">
        <v>62</v>
      </c>
      <c r="C53" s="31" t="s">
        <v>20</v>
      </c>
      <c r="D53" s="32"/>
      <c r="E53" s="33"/>
      <c r="F53" s="23"/>
      <c r="G53" s="34"/>
      <c r="H53" s="34"/>
      <c r="I53" s="34"/>
      <c r="J53" s="34"/>
      <c r="K53" s="34"/>
      <c r="L53" s="34"/>
      <c r="M53" s="34"/>
      <c r="N53" s="34"/>
      <c r="O53" s="34"/>
      <c r="P53" s="34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2:27" s="36" customFormat="1" ht="54" hidden="1" customHeight="1">
      <c r="B54" s="49" t="s">
        <v>63</v>
      </c>
      <c r="C54" s="31" t="s">
        <v>18</v>
      </c>
      <c r="D54" s="32"/>
      <c r="E54" s="33"/>
      <c r="F54" s="23"/>
      <c r="G54" s="34">
        <f>ROUND(E54*G55*G56/10000,1)</f>
        <v>0</v>
      </c>
      <c r="H54" s="34">
        <f>ROUND(G54*H55*H56/10000,1)</f>
        <v>0</v>
      </c>
      <c r="I54" s="34">
        <f>ROUND(G54*I55*I56/10000,1)</f>
        <v>0</v>
      </c>
      <c r="J54" s="34">
        <f t="shared" ref="J54:P54" si="16">ROUND(G54*J55*J56/10000,1)</f>
        <v>0</v>
      </c>
      <c r="K54" s="34">
        <f t="shared" si="16"/>
        <v>0</v>
      </c>
      <c r="L54" s="34">
        <f t="shared" si="16"/>
        <v>0</v>
      </c>
      <c r="M54" s="34">
        <f t="shared" si="16"/>
        <v>0</v>
      </c>
      <c r="N54" s="34">
        <f t="shared" si="16"/>
        <v>0</v>
      </c>
      <c r="O54" s="34">
        <f t="shared" si="16"/>
        <v>0</v>
      </c>
      <c r="P54" s="34">
        <f t="shared" si="16"/>
        <v>0</v>
      </c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2:27" s="36" customFormat="1" ht="36" hidden="1" customHeight="1">
      <c r="B55" s="49" t="s">
        <v>64</v>
      </c>
      <c r="C55" s="31" t="s">
        <v>24</v>
      </c>
      <c r="D55" s="32"/>
      <c r="E55" s="33"/>
      <c r="F55" s="23"/>
      <c r="G55" s="48">
        <v>102.20525039501698</v>
      </c>
      <c r="H55" s="48">
        <v>93.936695467541639</v>
      </c>
      <c r="I55" s="48">
        <v>100.27880452234727</v>
      </c>
      <c r="J55" s="48">
        <f>I55</f>
        <v>100.27880452234727</v>
      </c>
      <c r="K55" s="48">
        <v>101.7</v>
      </c>
      <c r="L55" s="48">
        <v>104.43703392022967</v>
      </c>
      <c r="M55" s="48">
        <f>L55</f>
        <v>104.43703392022967</v>
      </c>
      <c r="N55" s="48">
        <v>101.9</v>
      </c>
      <c r="O55" s="48">
        <v>104.38769444648702</v>
      </c>
      <c r="P55" s="48">
        <f>O55</f>
        <v>104.38769444648702</v>
      </c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2:27" s="36" customFormat="1" ht="36" hidden="1" customHeight="1">
      <c r="B56" s="49" t="s">
        <v>65</v>
      </c>
      <c r="C56" s="31" t="s">
        <v>20</v>
      </c>
      <c r="D56" s="32"/>
      <c r="E56" s="33"/>
      <c r="F56" s="23"/>
      <c r="G56" s="34"/>
      <c r="H56" s="34"/>
      <c r="I56" s="34"/>
      <c r="J56" s="34"/>
      <c r="K56" s="34"/>
      <c r="L56" s="34"/>
      <c r="M56" s="34"/>
      <c r="N56" s="34"/>
      <c r="O56" s="34"/>
      <c r="P56" s="34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2:27" s="36" customFormat="1" ht="54" hidden="1" customHeight="1">
      <c r="B57" s="49" t="s">
        <v>66</v>
      </c>
      <c r="C57" s="31" t="s">
        <v>18</v>
      </c>
      <c r="D57" s="32"/>
      <c r="E57" s="33"/>
      <c r="F57" s="23"/>
      <c r="G57" s="34">
        <f>ROUND(E57*G58*G59/10000,1)</f>
        <v>0</v>
      </c>
      <c r="H57" s="34">
        <f>ROUND(G57*H58*H59/10000,1)</f>
        <v>0</v>
      </c>
      <c r="I57" s="34">
        <f>ROUND(G57*I58*I59/10000,1)</f>
        <v>0</v>
      </c>
      <c r="J57" s="34">
        <f t="shared" ref="J57:P57" si="17">ROUND(G57*J58*J59/10000,1)</f>
        <v>0</v>
      </c>
      <c r="K57" s="34">
        <f t="shared" si="17"/>
        <v>0</v>
      </c>
      <c r="L57" s="34">
        <f t="shared" si="17"/>
        <v>0</v>
      </c>
      <c r="M57" s="34">
        <f t="shared" si="17"/>
        <v>0</v>
      </c>
      <c r="N57" s="34">
        <f t="shared" si="17"/>
        <v>0</v>
      </c>
      <c r="O57" s="34">
        <f t="shared" si="17"/>
        <v>0</v>
      </c>
      <c r="P57" s="34">
        <f t="shared" si="17"/>
        <v>0</v>
      </c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2:27" s="36" customFormat="1" ht="36" hidden="1" customHeight="1">
      <c r="B58" s="49" t="s">
        <v>67</v>
      </c>
      <c r="C58" s="31" t="s">
        <v>24</v>
      </c>
      <c r="D58" s="32"/>
      <c r="E58" s="33"/>
      <c r="F58" s="23"/>
      <c r="G58" s="47">
        <v>106.18387160803597</v>
      </c>
      <c r="H58" s="48">
        <v>105.3</v>
      </c>
      <c r="I58" s="48">
        <v>106.14876775598758</v>
      </c>
      <c r="J58" s="48">
        <f>I58</f>
        <v>106.14876775598758</v>
      </c>
      <c r="K58" s="48">
        <v>105.1</v>
      </c>
      <c r="L58" s="48">
        <v>105.5270340805674</v>
      </c>
      <c r="M58" s="48">
        <f>L58</f>
        <v>105.5270340805674</v>
      </c>
      <c r="N58" s="48">
        <v>105.3</v>
      </c>
      <c r="O58" s="48">
        <v>105.46639867591065</v>
      </c>
      <c r="P58" s="48">
        <f>O58</f>
        <v>105.46639867591065</v>
      </c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2:27" s="36" customFormat="1" ht="36" hidden="1" customHeight="1">
      <c r="B59" s="49" t="s">
        <v>68</v>
      </c>
      <c r="C59" s="31" t="s">
        <v>20</v>
      </c>
      <c r="D59" s="32"/>
      <c r="E59" s="33"/>
      <c r="F59" s="23"/>
      <c r="G59" s="34"/>
      <c r="H59" s="34"/>
      <c r="I59" s="34"/>
      <c r="J59" s="34"/>
      <c r="K59" s="34"/>
      <c r="L59" s="34"/>
      <c r="M59" s="34"/>
      <c r="N59" s="34"/>
      <c r="O59" s="34"/>
      <c r="P59" s="34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2:27" s="36" customFormat="1" ht="72" hidden="1" customHeight="1">
      <c r="B60" s="49" t="s">
        <v>69</v>
      </c>
      <c r="C60" s="31" t="s">
        <v>18</v>
      </c>
      <c r="D60" s="32"/>
      <c r="E60" s="33"/>
      <c r="F60" s="23"/>
      <c r="G60" s="34">
        <f>ROUND(E60*G61*G62/10000,1)</f>
        <v>0</v>
      </c>
      <c r="H60" s="34">
        <f>ROUND(G60*H61*H62/10000,1)</f>
        <v>0</v>
      </c>
      <c r="I60" s="34">
        <f>ROUND(G60*I61*I62/10000,1)</f>
        <v>0</v>
      </c>
      <c r="J60" s="34">
        <f t="shared" ref="J60:P60" si="18">ROUND(G60*J61*J62/10000,1)</f>
        <v>0</v>
      </c>
      <c r="K60" s="34">
        <f t="shared" si="18"/>
        <v>0</v>
      </c>
      <c r="L60" s="34">
        <f t="shared" si="18"/>
        <v>0</v>
      </c>
      <c r="M60" s="34">
        <f t="shared" si="18"/>
        <v>0</v>
      </c>
      <c r="N60" s="34">
        <f t="shared" si="18"/>
        <v>0</v>
      </c>
      <c r="O60" s="34">
        <f t="shared" si="18"/>
        <v>0</v>
      </c>
      <c r="P60" s="34">
        <f t="shared" si="18"/>
        <v>0</v>
      </c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2:27" s="36" customFormat="1" ht="36" hidden="1" customHeight="1">
      <c r="B61" s="49" t="s">
        <v>70</v>
      </c>
      <c r="C61" s="31" t="s">
        <v>24</v>
      </c>
      <c r="D61" s="32"/>
      <c r="E61" s="33"/>
      <c r="F61" s="23"/>
      <c r="G61" s="34">
        <v>106.18387160803597</v>
      </c>
      <c r="H61" s="34">
        <v>105.3</v>
      </c>
      <c r="I61" s="34">
        <v>106.14876775598758</v>
      </c>
      <c r="J61" s="34">
        <f>I61</f>
        <v>106.14876775598758</v>
      </c>
      <c r="K61" s="34">
        <v>105.1</v>
      </c>
      <c r="L61" s="34">
        <v>105.5270340805674</v>
      </c>
      <c r="M61" s="34">
        <f>L61</f>
        <v>105.5270340805674</v>
      </c>
      <c r="N61" s="34">
        <v>105.3</v>
      </c>
      <c r="O61" s="34">
        <v>105.46639867591065</v>
      </c>
      <c r="P61" s="34">
        <f>O61</f>
        <v>105.46639867591065</v>
      </c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2:27" s="36" customFormat="1" ht="36" hidden="1" customHeight="1">
      <c r="B62" s="49" t="s">
        <v>71</v>
      </c>
      <c r="C62" s="31" t="s">
        <v>20</v>
      </c>
      <c r="D62" s="32"/>
      <c r="E62" s="33"/>
      <c r="F62" s="23"/>
      <c r="G62" s="34"/>
      <c r="H62" s="34"/>
      <c r="I62" s="34"/>
      <c r="J62" s="34"/>
      <c r="K62" s="34"/>
      <c r="L62" s="34"/>
      <c r="M62" s="34"/>
      <c r="N62" s="34"/>
      <c r="O62" s="34"/>
      <c r="P62" s="34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2:27" s="36" customFormat="1" ht="54" hidden="1" customHeight="1">
      <c r="B63" s="49" t="s">
        <v>72</v>
      </c>
      <c r="C63" s="31" t="s">
        <v>18</v>
      </c>
      <c r="D63" s="32"/>
      <c r="E63" s="33"/>
      <c r="F63" s="23"/>
      <c r="G63" s="34">
        <f>ROUND(E63*G64*G65/10000,1)</f>
        <v>0</v>
      </c>
      <c r="H63" s="34">
        <f>ROUND(G63*H64*H65/10000,1)</f>
        <v>0</v>
      </c>
      <c r="I63" s="34">
        <f>ROUND(G63*I64*I65/10000,1)</f>
        <v>0</v>
      </c>
      <c r="J63" s="34">
        <f t="shared" ref="J63:P63" si="19">ROUND(G63*J64*J65/10000,1)</f>
        <v>0</v>
      </c>
      <c r="K63" s="34">
        <f t="shared" si="19"/>
        <v>0</v>
      </c>
      <c r="L63" s="34">
        <f t="shared" si="19"/>
        <v>0</v>
      </c>
      <c r="M63" s="34">
        <f t="shared" si="19"/>
        <v>0</v>
      </c>
      <c r="N63" s="34">
        <f t="shared" si="19"/>
        <v>0</v>
      </c>
      <c r="O63" s="34">
        <f t="shared" si="19"/>
        <v>0</v>
      </c>
      <c r="P63" s="34">
        <f t="shared" si="19"/>
        <v>0</v>
      </c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2:27" s="36" customFormat="1" ht="36" hidden="1" customHeight="1">
      <c r="B64" s="49" t="s">
        <v>73</v>
      </c>
      <c r="C64" s="31" t="s">
        <v>24</v>
      </c>
      <c r="D64" s="32"/>
      <c r="E64" s="33"/>
      <c r="F64" s="23"/>
      <c r="G64" s="34">
        <v>106.18387160803597</v>
      </c>
      <c r="H64" s="34">
        <v>105.3</v>
      </c>
      <c r="I64" s="34">
        <v>106.14876775598758</v>
      </c>
      <c r="J64" s="34">
        <f>I64</f>
        <v>106.14876775598758</v>
      </c>
      <c r="K64" s="34">
        <v>105.1</v>
      </c>
      <c r="L64" s="34">
        <v>105.5270340805674</v>
      </c>
      <c r="M64" s="34">
        <f>L64</f>
        <v>105.5270340805674</v>
      </c>
      <c r="N64" s="34">
        <v>105.3</v>
      </c>
      <c r="O64" s="34">
        <v>105.46639867591065</v>
      </c>
      <c r="P64" s="34">
        <f>O64</f>
        <v>105.46639867591065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2:27" s="36" customFormat="1" ht="36" hidden="1" customHeight="1">
      <c r="B65" s="49" t="s">
        <v>74</v>
      </c>
      <c r="C65" s="31" t="s">
        <v>24</v>
      </c>
      <c r="D65" s="32"/>
      <c r="E65" s="33"/>
      <c r="F65" s="23"/>
      <c r="G65" s="34"/>
      <c r="H65" s="34"/>
      <c r="I65" s="34"/>
      <c r="J65" s="34"/>
      <c r="K65" s="34"/>
      <c r="L65" s="34"/>
      <c r="M65" s="34"/>
      <c r="N65" s="34"/>
      <c r="O65" s="34"/>
      <c r="P65" s="34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2:27" s="36" customFormat="1" ht="54" hidden="1" customHeight="1">
      <c r="B66" s="49" t="s">
        <v>75</v>
      </c>
      <c r="C66" s="31" t="s">
        <v>18</v>
      </c>
      <c r="D66" s="32"/>
      <c r="E66" s="33"/>
      <c r="F66" s="23"/>
      <c r="G66" s="34">
        <f>ROUND(E66*G67*G68/10000,1)</f>
        <v>0</v>
      </c>
      <c r="H66" s="34">
        <f>ROUND(G66*H67*H68/10000,1)</f>
        <v>0</v>
      </c>
      <c r="I66" s="34">
        <f>ROUND(G66*I67*I68/10000,1)</f>
        <v>0</v>
      </c>
      <c r="J66" s="34">
        <f t="shared" ref="J66:P66" si="20">ROUND(G66*J67*J68/10000,1)</f>
        <v>0</v>
      </c>
      <c r="K66" s="34">
        <f t="shared" si="20"/>
        <v>0</v>
      </c>
      <c r="L66" s="34">
        <f t="shared" si="20"/>
        <v>0</v>
      </c>
      <c r="M66" s="34">
        <f t="shared" si="20"/>
        <v>0</v>
      </c>
      <c r="N66" s="34">
        <f t="shared" si="20"/>
        <v>0</v>
      </c>
      <c r="O66" s="34">
        <f t="shared" si="20"/>
        <v>0</v>
      </c>
      <c r="P66" s="34">
        <f t="shared" si="20"/>
        <v>0</v>
      </c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2:27" s="36" customFormat="1" ht="36" hidden="1" customHeight="1">
      <c r="B67" s="49" t="s">
        <v>76</v>
      </c>
      <c r="C67" s="31" t="s">
        <v>24</v>
      </c>
      <c r="D67" s="32"/>
      <c r="E67" s="33"/>
      <c r="F67" s="23"/>
      <c r="G67" s="47">
        <v>104.22019327682197</v>
      </c>
      <c r="H67" s="48">
        <v>104.7</v>
      </c>
      <c r="I67" s="48">
        <v>105.05400143540599</v>
      </c>
      <c r="J67" s="48">
        <f>I67</f>
        <v>105.05400143540599</v>
      </c>
      <c r="K67" s="48">
        <v>104.6</v>
      </c>
      <c r="L67" s="48">
        <v>104.73755289905193</v>
      </c>
      <c r="M67" s="48">
        <f>L67</f>
        <v>104.73755289905193</v>
      </c>
      <c r="N67" s="48">
        <v>104.63857929413878</v>
      </c>
      <c r="O67" s="47">
        <v>104.6</v>
      </c>
      <c r="P67" s="47">
        <f>O67</f>
        <v>104.6</v>
      </c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2:27" s="36" customFormat="1" ht="36" hidden="1" customHeight="1">
      <c r="B68" s="49" t="s">
        <v>77</v>
      </c>
      <c r="C68" s="31" t="s">
        <v>20</v>
      </c>
      <c r="D68" s="32"/>
      <c r="E68" s="33"/>
      <c r="F68" s="23"/>
      <c r="G68" s="34"/>
      <c r="H68" s="34"/>
      <c r="I68" s="34"/>
      <c r="J68" s="34"/>
      <c r="K68" s="34"/>
      <c r="L68" s="34"/>
      <c r="M68" s="34"/>
      <c r="N68" s="34"/>
      <c r="O68" s="34"/>
      <c r="P68" s="34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2:27" s="36" customFormat="1" ht="54" hidden="1" customHeight="1">
      <c r="B69" s="49" t="s">
        <v>78</v>
      </c>
      <c r="C69" s="31" t="s">
        <v>18</v>
      </c>
      <c r="D69" s="32"/>
      <c r="E69" s="33"/>
      <c r="F69" s="23"/>
      <c r="G69" s="34">
        <f>ROUND(E69*G70*G71/10000,1)</f>
        <v>0</v>
      </c>
      <c r="H69" s="34">
        <f>ROUND(G69*H70*H71/10000,1)</f>
        <v>0</v>
      </c>
      <c r="I69" s="34">
        <f>ROUND(G69*I70*I71/10000,1)</f>
        <v>0</v>
      </c>
      <c r="J69" s="34">
        <f t="shared" ref="J69:P69" si="21">ROUND(G69*J70*J71/10000,1)</f>
        <v>0</v>
      </c>
      <c r="K69" s="34">
        <f t="shared" si="21"/>
        <v>0</v>
      </c>
      <c r="L69" s="34">
        <f t="shared" si="21"/>
        <v>0</v>
      </c>
      <c r="M69" s="34">
        <f t="shared" si="21"/>
        <v>0</v>
      </c>
      <c r="N69" s="34">
        <f t="shared" si="21"/>
        <v>0</v>
      </c>
      <c r="O69" s="34">
        <f t="shared" si="21"/>
        <v>0</v>
      </c>
      <c r="P69" s="34">
        <f t="shared" si="21"/>
        <v>0</v>
      </c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2:27" s="36" customFormat="1" ht="18" hidden="1" customHeight="1">
      <c r="B70" s="49" t="s">
        <v>79</v>
      </c>
      <c r="C70" s="31" t="s">
        <v>24</v>
      </c>
      <c r="D70" s="32"/>
      <c r="E70" s="33"/>
      <c r="F70" s="23"/>
      <c r="G70" s="48">
        <v>104.66861301555876</v>
      </c>
      <c r="H70" s="48">
        <v>107.11322907292167</v>
      </c>
      <c r="I70" s="48">
        <v>104.58758567039534</v>
      </c>
      <c r="J70" s="48">
        <f>I70</f>
        <v>104.58758567039534</v>
      </c>
      <c r="K70" s="48">
        <v>105.15739620088944</v>
      </c>
      <c r="L70" s="48">
        <v>104.81604094395311</v>
      </c>
      <c r="M70" s="48">
        <f>L70</f>
        <v>104.81604094395311</v>
      </c>
      <c r="N70" s="48">
        <v>105.40301552374345</v>
      </c>
      <c r="O70" s="48">
        <v>105.03853669125336</v>
      </c>
      <c r="P70" s="48">
        <f>O70</f>
        <v>105.03853669125336</v>
      </c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2:27" s="36" customFormat="1" ht="36" hidden="1" customHeight="1">
      <c r="B71" s="49" t="s">
        <v>80</v>
      </c>
      <c r="C71" s="31" t="s">
        <v>20</v>
      </c>
      <c r="D71" s="32"/>
      <c r="E71" s="33"/>
      <c r="F71" s="23"/>
      <c r="G71" s="34"/>
      <c r="H71" s="34"/>
      <c r="I71" s="34"/>
      <c r="J71" s="34"/>
      <c r="K71" s="34"/>
      <c r="L71" s="34"/>
      <c r="M71" s="34"/>
      <c r="N71" s="34"/>
      <c r="O71" s="34"/>
      <c r="P71" s="34"/>
      <c r="R71" s="46"/>
      <c r="S71" s="46"/>
      <c r="T71" s="46"/>
      <c r="U71" s="46"/>
      <c r="V71" s="46"/>
      <c r="W71" s="46"/>
      <c r="X71" s="46"/>
      <c r="Y71" s="46"/>
      <c r="Z71" s="46"/>
      <c r="AA71" s="46"/>
    </row>
    <row r="72" spans="2:27" s="36" customFormat="1" ht="72" hidden="1" customHeight="1">
      <c r="B72" s="49" t="s">
        <v>81</v>
      </c>
      <c r="C72" s="31" t="s">
        <v>18</v>
      </c>
      <c r="D72" s="32"/>
      <c r="E72" s="33"/>
      <c r="F72" s="23"/>
      <c r="G72" s="34">
        <f>ROUND(E72*G73*G74/10000,1)</f>
        <v>0</v>
      </c>
      <c r="H72" s="34">
        <f>ROUND(G72*H73*H74/10000,1)</f>
        <v>0</v>
      </c>
      <c r="I72" s="34">
        <f>ROUND(G72*I73*I74/10000,1)</f>
        <v>0</v>
      </c>
      <c r="J72" s="34">
        <f t="shared" ref="J72:P72" si="22">ROUND(G72*J73*J74/10000,1)</f>
        <v>0</v>
      </c>
      <c r="K72" s="34">
        <f t="shared" si="22"/>
        <v>0</v>
      </c>
      <c r="L72" s="34">
        <f t="shared" si="22"/>
        <v>0</v>
      </c>
      <c r="M72" s="34">
        <f t="shared" si="22"/>
        <v>0</v>
      </c>
      <c r="N72" s="34">
        <f t="shared" si="22"/>
        <v>0</v>
      </c>
      <c r="O72" s="34">
        <f t="shared" si="22"/>
        <v>0</v>
      </c>
      <c r="P72" s="34">
        <f t="shared" si="22"/>
        <v>0</v>
      </c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2:27" s="36" customFormat="1" ht="36" hidden="1" customHeight="1">
      <c r="B73" s="49" t="s">
        <v>82</v>
      </c>
      <c r="C73" s="31" t="s">
        <v>24</v>
      </c>
      <c r="D73" s="32"/>
      <c r="E73" s="33"/>
      <c r="F73" s="23"/>
      <c r="G73" s="47">
        <v>102.84028476450962</v>
      </c>
      <c r="H73" s="48">
        <v>106.3128648754259</v>
      </c>
      <c r="I73" s="47">
        <v>105.44353003097811</v>
      </c>
      <c r="J73" s="47">
        <f>I73</f>
        <v>105.44353003097811</v>
      </c>
      <c r="K73" s="48">
        <v>106.07269360474893</v>
      </c>
      <c r="L73" s="47">
        <v>104.94426413070026</v>
      </c>
      <c r="M73" s="47">
        <f>L73</f>
        <v>104.94426413070026</v>
      </c>
      <c r="N73" s="48">
        <v>105.86818503944018</v>
      </c>
      <c r="O73" s="47">
        <v>105.02210391288342</v>
      </c>
      <c r="P73" s="47">
        <f>O73</f>
        <v>105.02210391288342</v>
      </c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2:27" s="36" customFormat="1" ht="36" hidden="1" customHeight="1">
      <c r="B74" s="49" t="s">
        <v>83</v>
      </c>
      <c r="C74" s="31" t="s">
        <v>20</v>
      </c>
      <c r="D74" s="32"/>
      <c r="E74" s="33"/>
      <c r="F74" s="23"/>
      <c r="G74" s="34"/>
      <c r="H74" s="34"/>
      <c r="I74" s="34"/>
      <c r="J74" s="34"/>
      <c r="K74" s="34"/>
      <c r="L74" s="34"/>
      <c r="M74" s="34"/>
      <c r="N74" s="34"/>
      <c r="O74" s="34"/>
      <c r="P74" s="34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2:27" s="36" customFormat="1" ht="54" hidden="1" customHeight="1">
      <c r="B75" s="49" t="s">
        <v>84</v>
      </c>
      <c r="C75" s="31" t="s">
        <v>18</v>
      </c>
      <c r="D75" s="32"/>
      <c r="E75" s="33"/>
      <c r="F75" s="23"/>
      <c r="G75" s="34">
        <f>ROUND(E75*G76*G77/10000,1)</f>
        <v>0</v>
      </c>
      <c r="H75" s="34">
        <f>ROUND(G75*H76*H77/10000,1)</f>
        <v>0</v>
      </c>
      <c r="I75" s="34">
        <f>ROUND(G75*I76*I77/10000,1)</f>
        <v>0</v>
      </c>
      <c r="J75" s="34">
        <f t="shared" ref="J75:P75" si="23">ROUND(G75*J76*J77/10000,1)</f>
        <v>0</v>
      </c>
      <c r="K75" s="34">
        <f t="shared" si="23"/>
        <v>0</v>
      </c>
      <c r="L75" s="34">
        <f t="shared" si="23"/>
        <v>0</v>
      </c>
      <c r="M75" s="34">
        <f t="shared" si="23"/>
        <v>0</v>
      </c>
      <c r="N75" s="34">
        <f t="shared" si="23"/>
        <v>0</v>
      </c>
      <c r="O75" s="34">
        <f t="shared" si="23"/>
        <v>0</v>
      </c>
      <c r="P75" s="34">
        <f t="shared" si="23"/>
        <v>0</v>
      </c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2:27" s="36" customFormat="1" ht="36" hidden="1" customHeight="1">
      <c r="B76" s="49" t="s">
        <v>85</v>
      </c>
      <c r="C76" s="31" t="s">
        <v>24</v>
      </c>
      <c r="D76" s="32"/>
      <c r="E76" s="33"/>
      <c r="F76" s="23"/>
      <c r="G76" s="47">
        <v>105.24629255261478</v>
      </c>
      <c r="H76" s="48">
        <v>105</v>
      </c>
      <c r="I76" s="48">
        <v>105.60861191573676</v>
      </c>
      <c r="J76" s="48">
        <f>I76</f>
        <v>105.60861191573676</v>
      </c>
      <c r="K76" s="48">
        <v>105</v>
      </c>
      <c r="L76" s="48">
        <v>105.53844407708949</v>
      </c>
      <c r="M76" s="48">
        <f>L76</f>
        <v>105.53844407708949</v>
      </c>
      <c r="N76" s="48">
        <v>105.2</v>
      </c>
      <c r="O76" s="48">
        <v>105.27096062592705</v>
      </c>
      <c r="P76" s="48">
        <f>O76</f>
        <v>105.27096062592705</v>
      </c>
      <c r="R76" s="46"/>
      <c r="S76" s="46"/>
      <c r="T76" s="46"/>
      <c r="U76" s="46"/>
      <c r="V76" s="46"/>
      <c r="W76" s="46"/>
      <c r="X76" s="46"/>
      <c r="Y76" s="46"/>
      <c r="Z76" s="46"/>
      <c r="AA76" s="46"/>
    </row>
    <row r="77" spans="2:27" s="36" customFormat="1" ht="36" hidden="1" customHeight="1">
      <c r="B77" s="49" t="s">
        <v>86</v>
      </c>
      <c r="C77" s="31" t="s">
        <v>20</v>
      </c>
      <c r="D77" s="32"/>
      <c r="E77" s="33"/>
      <c r="F77" s="23"/>
      <c r="G77" s="34"/>
      <c r="H77" s="34"/>
      <c r="I77" s="34"/>
      <c r="J77" s="34"/>
      <c r="K77" s="34"/>
      <c r="L77" s="34"/>
      <c r="M77" s="34"/>
      <c r="N77" s="34"/>
      <c r="O77" s="34"/>
      <c r="P77" s="34"/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spans="2:27" s="36" customFormat="1" ht="54" hidden="1" customHeight="1">
      <c r="B78" s="49" t="s">
        <v>87</v>
      </c>
      <c r="C78" s="31" t="s">
        <v>18</v>
      </c>
      <c r="D78" s="32"/>
      <c r="E78" s="33"/>
      <c r="F78" s="23"/>
      <c r="G78" s="34">
        <f>ROUND(E78*G79*G80/10000,1)</f>
        <v>0</v>
      </c>
      <c r="H78" s="34">
        <f>ROUND(G78*H79*H80/10000,1)</f>
        <v>0</v>
      </c>
      <c r="I78" s="34">
        <f>ROUND(G78*I79*I80/10000,1)</f>
        <v>0</v>
      </c>
      <c r="J78" s="34">
        <f t="shared" ref="J78:P78" si="24">ROUND(G78*J79*J80/10000,1)</f>
        <v>0</v>
      </c>
      <c r="K78" s="34">
        <f t="shared" si="24"/>
        <v>0</v>
      </c>
      <c r="L78" s="34">
        <f t="shared" si="24"/>
        <v>0</v>
      </c>
      <c r="M78" s="34">
        <f t="shared" si="24"/>
        <v>0</v>
      </c>
      <c r="N78" s="34">
        <f t="shared" si="24"/>
        <v>0</v>
      </c>
      <c r="O78" s="34">
        <f t="shared" si="24"/>
        <v>0</v>
      </c>
      <c r="P78" s="34">
        <f t="shared" si="24"/>
        <v>0</v>
      </c>
      <c r="R78" s="46"/>
      <c r="S78" s="46"/>
      <c r="T78" s="46"/>
      <c r="U78" s="46"/>
      <c r="V78" s="46"/>
      <c r="W78" s="46"/>
      <c r="X78" s="46"/>
      <c r="Y78" s="46"/>
      <c r="Z78" s="46"/>
      <c r="AA78" s="46"/>
    </row>
    <row r="79" spans="2:27" s="36" customFormat="1" ht="36" hidden="1" customHeight="1">
      <c r="B79" s="49" t="s">
        <v>88</v>
      </c>
      <c r="C79" s="31" t="s">
        <v>24</v>
      </c>
      <c r="D79" s="32"/>
      <c r="E79" s="33"/>
      <c r="F79" s="23"/>
      <c r="G79" s="34">
        <v>105.24629255261478</v>
      </c>
      <c r="H79" s="34">
        <v>105</v>
      </c>
      <c r="I79" s="34">
        <v>105.60861191573676</v>
      </c>
      <c r="J79" s="34">
        <f>I79</f>
        <v>105.60861191573676</v>
      </c>
      <c r="K79" s="34">
        <v>105</v>
      </c>
      <c r="L79" s="34">
        <v>105.53844407708949</v>
      </c>
      <c r="M79" s="34">
        <f>L79</f>
        <v>105.53844407708949</v>
      </c>
      <c r="N79" s="34">
        <v>105.2</v>
      </c>
      <c r="O79" s="34">
        <v>105.27096062592705</v>
      </c>
      <c r="P79" s="34">
        <f>O79</f>
        <v>105.27096062592705</v>
      </c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2:27" s="36" customFormat="1" ht="36" hidden="1" customHeight="1">
      <c r="B80" s="49" t="s">
        <v>89</v>
      </c>
      <c r="C80" s="31" t="s">
        <v>20</v>
      </c>
      <c r="D80" s="32"/>
      <c r="E80" s="33"/>
      <c r="F80" s="23"/>
      <c r="G80" s="34"/>
      <c r="H80" s="34"/>
      <c r="I80" s="34"/>
      <c r="J80" s="34"/>
      <c r="K80" s="34"/>
      <c r="L80" s="34"/>
      <c r="M80" s="34"/>
      <c r="N80" s="34"/>
      <c r="O80" s="34"/>
      <c r="P80" s="34"/>
      <c r="R80" s="46"/>
      <c r="S80" s="46"/>
      <c r="T80" s="46"/>
      <c r="U80" s="46"/>
      <c r="V80" s="46"/>
      <c r="W80" s="46"/>
      <c r="X80" s="46"/>
      <c r="Y80" s="46"/>
      <c r="Z80" s="46"/>
      <c r="AA80" s="46"/>
    </row>
    <row r="81" spans="2:27" s="36" customFormat="1" ht="72" hidden="1" customHeight="1">
      <c r="B81" s="49" t="s">
        <v>90</v>
      </c>
      <c r="C81" s="31" t="s">
        <v>18</v>
      </c>
      <c r="D81" s="32"/>
      <c r="E81" s="33"/>
      <c r="F81" s="23"/>
      <c r="G81" s="34">
        <f>ROUND(E81*G82*G83/10000,1)</f>
        <v>0</v>
      </c>
      <c r="H81" s="34">
        <f>ROUND(G81*H82*H83/10000,1)</f>
        <v>0</v>
      </c>
      <c r="I81" s="34">
        <f>ROUND(G81*I82*I83/10000,1)</f>
        <v>0</v>
      </c>
      <c r="J81" s="34">
        <f t="shared" ref="J81:P81" si="25">ROUND(G81*J82*J83/10000,1)</f>
        <v>0</v>
      </c>
      <c r="K81" s="34">
        <f t="shared" si="25"/>
        <v>0</v>
      </c>
      <c r="L81" s="34">
        <f t="shared" si="25"/>
        <v>0</v>
      </c>
      <c r="M81" s="34">
        <f t="shared" si="25"/>
        <v>0</v>
      </c>
      <c r="N81" s="34">
        <f t="shared" si="25"/>
        <v>0</v>
      </c>
      <c r="O81" s="34">
        <f t="shared" si="25"/>
        <v>0</v>
      </c>
      <c r="P81" s="34">
        <f t="shared" si="25"/>
        <v>0</v>
      </c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2:27" s="36" customFormat="1" ht="36" hidden="1" customHeight="1">
      <c r="B82" s="49" t="s">
        <v>91</v>
      </c>
      <c r="C82" s="31" t="s">
        <v>24</v>
      </c>
      <c r="D82" s="32"/>
      <c r="E82" s="33"/>
      <c r="F82" s="23"/>
      <c r="G82" s="34">
        <v>105.24629255261478</v>
      </c>
      <c r="H82" s="34">
        <v>105</v>
      </c>
      <c r="I82" s="34">
        <v>105.60861191573676</v>
      </c>
      <c r="J82" s="34">
        <f>I82</f>
        <v>105.60861191573676</v>
      </c>
      <c r="K82" s="34">
        <v>105</v>
      </c>
      <c r="L82" s="34">
        <v>105.53844407708949</v>
      </c>
      <c r="M82" s="34">
        <f>L82</f>
        <v>105.53844407708949</v>
      </c>
      <c r="N82" s="34">
        <v>105.2</v>
      </c>
      <c r="O82" s="34">
        <v>105.27096062592705</v>
      </c>
      <c r="P82" s="34">
        <f>O82</f>
        <v>105.27096062592705</v>
      </c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2:27" s="36" customFormat="1" ht="36" hidden="1" customHeight="1">
      <c r="B83" s="49" t="s">
        <v>92</v>
      </c>
      <c r="C83" s="31" t="s">
        <v>20</v>
      </c>
      <c r="D83" s="32"/>
      <c r="E83" s="33"/>
      <c r="F83" s="23"/>
      <c r="G83" s="34"/>
      <c r="H83" s="34"/>
      <c r="I83" s="34"/>
      <c r="J83" s="34"/>
      <c r="K83" s="34"/>
      <c r="L83" s="34"/>
      <c r="M83" s="34"/>
      <c r="N83" s="34"/>
      <c r="O83" s="34"/>
      <c r="P83" s="34"/>
      <c r="R83" s="46"/>
      <c r="S83" s="46"/>
      <c r="T83" s="46"/>
      <c r="U83" s="46"/>
      <c r="V83" s="46"/>
      <c r="W83" s="46"/>
      <c r="X83" s="46"/>
      <c r="Y83" s="46"/>
      <c r="Z83" s="46"/>
      <c r="AA83" s="46"/>
    </row>
    <row r="84" spans="2:27" s="36" customFormat="1" ht="72" hidden="1" customHeight="1">
      <c r="B84" s="49" t="s">
        <v>93</v>
      </c>
      <c r="C84" s="31" t="s">
        <v>18</v>
      </c>
      <c r="D84" s="32"/>
      <c r="E84" s="33"/>
      <c r="F84" s="23"/>
      <c r="G84" s="34">
        <f>ROUND(E84*G85*G86/10000,1)</f>
        <v>0</v>
      </c>
      <c r="H84" s="34">
        <f>ROUND(G84*H85*H86/10000,1)</f>
        <v>0</v>
      </c>
      <c r="I84" s="34">
        <f>ROUND(G84*I85*I86/10000,1)</f>
        <v>0</v>
      </c>
      <c r="J84" s="34">
        <f t="shared" ref="J84:P84" si="26">ROUND(G84*J85*J86/10000,1)</f>
        <v>0</v>
      </c>
      <c r="K84" s="34">
        <f t="shared" si="26"/>
        <v>0</v>
      </c>
      <c r="L84" s="34">
        <f t="shared" si="26"/>
        <v>0</v>
      </c>
      <c r="M84" s="34">
        <f t="shared" si="26"/>
        <v>0</v>
      </c>
      <c r="N84" s="34">
        <f t="shared" si="26"/>
        <v>0</v>
      </c>
      <c r="O84" s="34">
        <f t="shared" si="26"/>
        <v>0</v>
      </c>
      <c r="P84" s="34">
        <f t="shared" si="26"/>
        <v>0</v>
      </c>
      <c r="R84" s="46"/>
      <c r="S84" s="46"/>
      <c r="T84" s="46"/>
      <c r="U84" s="46"/>
      <c r="V84" s="46"/>
      <c r="W84" s="46"/>
      <c r="X84" s="46"/>
      <c r="Y84" s="46"/>
      <c r="Z84" s="46"/>
      <c r="AA84" s="46"/>
    </row>
    <row r="85" spans="2:27" s="36" customFormat="1" ht="36" hidden="1" customHeight="1">
      <c r="B85" s="49" t="s">
        <v>94</v>
      </c>
      <c r="C85" s="31" t="s">
        <v>24</v>
      </c>
      <c r="D85" s="32"/>
      <c r="E85" s="33"/>
      <c r="F85" s="23"/>
      <c r="G85" s="34">
        <v>105.24629255261478</v>
      </c>
      <c r="H85" s="34">
        <v>105</v>
      </c>
      <c r="I85" s="34">
        <v>105.60861191573676</v>
      </c>
      <c r="J85" s="34">
        <f>I85</f>
        <v>105.60861191573676</v>
      </c>
      <c r="K85" s="34">
        <v>105</v>
      </c>
      <c r="L85" s="34">
        <v>105.53844407708949</v>
      </c>
      <c r="M85" s="34">
        <f>L85</f>
        <v>105.53844407708949</v>
      </c>
      <c r="N85" s="34">
        <v>105.2</v>
      </c>
      <c r="O85" s="34">
        <v>105.27096062592705</v>
      </c>
      <c r="P85" s="34">
        <f>O85</f>
        <v>105.27096062592705</v>
      </c>
      <c r="R85" s="46"/>
      <c r="S85" s="46"/>
      <c r="T85" s="46"/>
      <c r="U85" s="46"/>
      <c r="V85" s="46"/>
      <c r="W85" s="46"/>
      <c r="X85" s="46"/>
      <c r="Y85" s="46"/>
      <c r="Z85" s="46"/>
      <c r="AA85" s="46"/>
    </row>
    <row r="86" spans="2:27" s="36" customFormat="1" ht="36" hidden="1" customHeight="1">
      <c r="B86" s="49" t="s">
        <v>95</v>
      </c>
      <c r="C86" s="31" t="s">
        <v>20</v>
      </c>
      <c r="D86" s="32"/>
      <c r="E86" s="33"/>
      <c r="F86" s="23"/>
      <c r="G86" s="34"/>
      <c r="H86" s="34"/>
      <c r="I86" s="34"/>
      <c r="J86" s="34"/>
      <c r="K86" s="34"/>
      <c r="L86" s="34"/>
      <c r="M86" s="34"/>
      <c r="N86" s="34"/>
      <c r="O86" s="34"/>
      <c r="P86" s="34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2:27" s="36" customFormat="1" ht="54" hidden="1" customHeight="1">
      <c r="B87" s="49" t="s">
        <v>96</v>
      </c>
      <c r="C87" s="31" t="s">
        <v>18</v>
      </c>
      <c r="D87" s="32"/>
      <c r="E87" s="33"/>
      <c r="F87" s="23"/>
      <c r="G87" s="34">
        <f>ROUND(E87*G88*G89/10000,1)</f>
        <v>0</v>
      </c>
      <c r="H87" s="34">
        <f>ROUND(G87*H88*H89/10000,1)</f>
        <v>0</v>
      </c>
      <c r="I87" s="34">
        <f>ROUND(G87*I88*I89/10000,1)</f>
        <v>0</v>
      </c>
      <c r="J87" s="34">
        <f t="shared" ref="J87:P87" si="27">ROUND(G87*J88*J89/10000,1)</f>
        <v>0</v>
      </c>
      <c r="K87" s="34">
        <f t="shared" si="27"/>
        <v>0</v>
      </c>
      <c r="L87" s="34">
        <f t="shared" si="27"/>
        <v>0</v>
      </c>
      <c r="M87" s="34">
        <f t="shared" si="27"/>
        <v>0</v>
      </c>
      <c r="N87" s="34">
        <f t="shared" si="27"/>
        <v>0</v>
      </c>
      <c r="O87" s="34">
        <f t="shared" si="27"/>
        <v>0</v>
      </c>
      <c r="P87" s="34">
        <f t="shared" si="27"/>
        <v>0</v>
      </c>
      <c r="R87" s="46"/>
      <c r="S87" s="46"/>
      <c r="T87" s="46"/>
      <c r="U87" s="46"/>
      <c r="V87" s="46"/>
      <c r="W87" s="46"/>
      <c r="X87" s="46"/>
      <c r="Y87" s="46"/>
      <c r="Z87" s="46"/>
      <c r="AA87" s="46"/>
    </row>
    <row r="88" spans="2:27" s="36" customFormat="1" ht="36" hidden="1" customHeight="1">
      <c r="B88" s="49" t="s">
        <v>97</v>
      </c>
      <c r="C88" s="31" t="s">
        <v>24</v>
      </c>
      <c r="D88" s="32"/>
      <c r="E88" s="33"/>
      <c r="F88" s="23"/>
      <c r="G88" s="34">
        <v>105.24629255261478</v>
      </c>
      <c r="H88" s="34">
        <v>105</v>
      </c>
      <c r="I88" s="34">
        <v>105.60861191573676</v>
      </c>
      <c r="J88" s="34">
        <f>I88</f>
        <v>105.60861191573676</v>
      </c>
      <c r="K88" s="34">
        <v>105</v>
      </c>
      <c r="L88" s="34">
        <v>105.53844407708949</v>
      </c>
      <c r="M88" s="34">
        <f>L88</f>
        <v>105.53844407708949</v>
      </c>
      <c r="N88" s="34">
        <v>105.2</v>
      </c>
      <c r="O88" s="34">
        <v>105.27096062592705</v>
      </c>
      <c r="P88" s="34">
        <f>O88</f>
        <v>105.27096062592705</v>
      </c>
      <c r="R88" s="46"/>
      <c r="S88" s="46"/>
      <c r="T88" s="46"/>
      <c r="U88" s="46"/>
      <c r="V88" s="46"/>
      <c r="W88" s="46"/>
      <c r="X88" s="46"/>
      <c r="Y88" s="46"/>
      <c r="Z88" s="46"/>
      <c r="AA88" s="46"/>
    </row>
    <row r="89" spans="2:27" s="36" customFormat="1" ht="36" hidden="1" customHeight="1">
      <c r="B89" s="49" t="s">
        <v>98</v>
      </c>
      <c r="C89" s="31" t="s">
        <v>20</v>
      </c>
      <c r="D89" s="32"/>
      <c r="E89" s="33"/>
      <c r="F89" s="23"/>
      <c r="G89" s="34"/>
      <c r="H89" s="34"/>
      <c r="I89" s="34"/>
      <c r="J89" s="34"/>
      <c r="K89" s="34"/>
      <c r="L89" s="34"/>
      <c r="M89" s="34"/>
      <c r="N89" s="34"/>
      <c r="O89" s="34"/>
      <c r="P89" s="34"/>
      <c r="R89" s="46"/>
      <c r="S89" s="46"/>
      <c r="T89" s="46"/>
      <c r="U89" s="46"/>
      <c r="V89" s="46"/>
      <c r="W89" s="46"/>
      <c r="X89" s="46"/>
      <c r="Y89" s="46"/>
      <c r="Z89" s="46"/>
      <c r="AA89" s="46"/>
    </row>
    <row r="90" spans="2:27" s="36" customFormat="1" ht="54" hidden="1" customHeight="1">
      <c r="B90" s="49" t="s">
        <v>99</v>
      </c>
      <c r="C90" s="31" t="s">
        <v>18</v>
      </c>
      <c r="D90" s="32"/>
      <c r="E90" s="33"/>
      <c r="F90" s="23"/>
      <c r="G90" s="34">
        <f>ROUND(E90*G91*G92/10000,1)</f>
        <v>0</v>
      </c>
      <c r="H90" s="34">
        <f>ROUND(G90*H91*H92/10000,1)</f>
        <v>0</v>
      </c>
      <c r="I90" s="34">
        <f>ROUND(G90*I91*I92/10000,1)</f>
        <v>0</v>
      </c>
      <c r="J90" s="34">
        <f t="shared" ref="J90:P90" si="28">ROUND(G90*J91*J92/10000,1)</f>
        <v>0</v>
      </c>
      <c r="K90" s="34">
        <f t="shared" si="28"/>
        <v>0</v>
      </c>
      <c r="L90" s="34">
        <f t="shared" si="28"/>
        <v>0</v>
      </c>
      <c r="M90" s="34">
        <f t="shared" si="28"/>
        <v>0</v>
      </c>
      <c r="N90" s="34">
        <f t="shared" si="28"/>
        <v>0</v>
      </c>
      <c r="O90" s="34">
        <f t="shared" si="28"/>
        <v>0</v>
      </c>
      <c r="P90" s="34">
        <f t="shared" si="28"/>
        <v>0</v>
      </c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2:27" s="36" customFormat="1" ht="18" hidden="1" customHeight="1">
      <c r="B91" s="49" t="s">
        <v>100</v>
      </c>
      <c r="C91" s="31" t="s">
        <v>24</v>
      </c>
      <c r="D91" s="32"/>
      <c r="E91" s="33"/>
      <c r="F91" s="23"/>
      <c r="G91" s="34">
        <v>105.24629255261478</v>
      </c>
      <c r="H91" s="34">
        <v>105</v>
      </c>
      <c r="I91" s="34">
        <v>105.60861191573676</v>
      </c>
      <c r="J91" s="34">
        <f>I91</f>
        <v>105.60861191573676</v>
      </c>
      <c r="K91" s="34">
        <v>105</v>
      </c>
      <c r="L91" s="34">
        <v>105.53844407708949</v>
      </c>
      <c r="M91" s="34">
        <f>L91</f>
        <v>105.53844407708949</v>
      </c>
      <c r="N91" s="34">
        <v>105.2</v>
      </c>
      <c r="O91" s="34">
        <v>105.27096062592705</v>
      </c>
      <c r="P91" s="34">
        <f>O91</f>
        <v>105.27096062592705</v>
      </c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2:27" s="36" customFormat="1" ht="36" hidden="1" customHeight="1">
      <c r="B92" s="49" t="s">
        <v>101</v>
      </c>
      <c r="C92" s="31" t="s">
        <v>20</v>
      </c>
      <c r="D92" s="32"/>
      <c r="E92" s="33"/>
      <c r="F92" s="23"/>
      <c r="G92" s="34"/>
      <c r="H92" s="34"/>
      <c r="I92" s="34"/>
      <c r="J92" s="34"/>
      <c r="K92" s="34"/>
      <c r="L92" s="34"/>
      <c r="M92" s="34"/>
      <c r="N92" s="34"/>
      <c r="O92" s="34"/>
      <c r="P92" s="34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2:27" s="36" customFormat="1" ht="54" hidden="1" customHeight="1">
      <c r="B93" s="49" t="s">
        <v>102</v>
      </c>
      <c r="C93" s="31" t="s">
        <v>18</v>
      </c>
      <c r="D93" s="32"/>
      <c r="E93" s="33"/>
      <c r="F93" s="23"/>
      <c r="G93" s="34">
        <f>ROUND(E93*G94*G95/10000,1)</f>
        <v>0</v>
      </c>
      <c r="H93" s="34">
        <f>ROUND(G93*H94*H95/10000,1)</f>
        <v>0</v>
      </c>
      <c r="I93" s="34">
        <f>ROUND(G93*I94*I95/10000,1)</f>
        <v>0</v>
      </c>
      <c r="J93" s="34">
        <f t="shared" ref="J93:P93" si="29">ROUND(G93*J94*J95/10000,1)</f>
        <v>0</v>
      </c>
      <c r="K93" s="34">
        <f t="shared" si="29"/>
        <v>0</v>
      </c>
      <c r="L93" s="34">
        <f t="shared" si="29"/>
        <v>0</v>
      </c>
      <c r="M93" s="34">
        <f t="shared" si="29"/>
        <v>0</v>
      </c>
      <c r="N93" s="34">
        <f t="shared" si="29"/>
        <v>0</v>
      </c>
      <c r="O93" s="34">
        <f t="shared" si="29"/>
        <v>0</v>
      </c>
      <c r="P93" s="34">
        <f t="shared" si="29"/>
        <v>0</v>
      </c>
      <c r="R93" s="46"/>
      <c r="S93" s="46"/>
      <c r="T93" s="46"/>
      <c r="U93" s="46"/>
      <c r="V93" s="46"/>
      <c r="W93" s="46"/>
      <c r="X93" s="46"/>
      <c r="Y93" s="46"/>
      <c r="Z93" s="46"/>
      <c r="AA93" s="46"/>
    </row>
    <row r="94" spans="2:27" s="36" customFormat="1" ht="36" hidden="1" customHeight="1">
      <c r="B94" s="49" t="s">
        <v>103</v>
      </c>
      <c r="C94" s="31" t="s">
        <v>24</v>
      </c>
      <c r="D94" s="32"/>
      <c r="E94" s="33"/>
      <c r="F94" s="23"/>
      <c r="G94" s="34">
        <v>105.24629255261478</v>
      </c>
      <c r="H94" s="34">
        <v>105</v>
      </c>
      <c r="I94" s="34">
        <v>105.60861191573676</v>
      </c>
      <c r="J94" s="34">
        <f>I94</f>
        <v>105.60861191573676</v>
      </c>
      <c r="K94" s="34">
        <v>105</v>
      </c>
      <c r="L94" s="34">
        <v>105.53844407708949</v>
      </c>
      <c r="M94" s="34">
        <f>L94</f>
        <v>105.53844407708949</v>
      </c>
      <c r="N94" s="34">
        <v>105.2</v>
      </c>
      <c r="O94" s="34">
        <v>105.27096062592705</v>
      </c>
      <c r="P94" s="34">
        <f>O94</f>
        <v>105.27096062592705</v>
      </c>
      <c r="R94" s="46"/>
      <c r="S94" s="46"/>
      <c r="T94" s="46"/>
      <c r="U94" s="46"/>
      <c r="V94" s="46"/>
      <c r="W94" s="46"/>
      <c r="X94" s="46"/>
      <c r="Y94" s="46"/>
      <c r="Z94" s="46"/>
      <c r="AA94" s="46"/>
    </row>
    <row r="95" spans="2:27" s="36" customFormat="1" ht="36" hidden="1" customHeight="1">
      <c r="B95" s="49" t="s">
        <v>104</v>
      </c>
      <c r="C95" s="31" t="s">
        <v>20</v>
      </c>
      <c r="D95" s="32"/>
      <c r="E95" s="33"/>
      <c r="F95" s="23"/>
      <c r="G95" s="34"/>
      <c r="H95" s="34"/>
      <c r="I95" s="34"/>
      <c r="J95" s="34"/>
      <c r="K95" s="34"/>
      <c r="L95" s="34"/>
      <c r="M95" s="34"/>
      <c r="N95" s="34"/>
      <c r="O95" s="34"/>
      <c r="P95" s="34"/>
      <c r="R95" s="46"/>
      <c r="S95" s="46"/>
      <c r="T95" s="46"/>
      <c r="U95" s="46"/>
      <c r="V95" s="46"/>
      <c r="W95" s="46"/>
      <c r="X95" s="46"/>
      <c r="Y95" s="46"/>
      <c r="Z95" s="46"/>
      <c r="AA95" s="46"/>
    </row>
    <row r="96" spans="2:27" s="36" customFormat="1" ht="54" hidden="1" customHeight="1">
      <c r="B96" s="49" t="s">
        <v>105</v>
      </c>
      <c r="C96" s="31" t="s">
        <v>18</v>
      </c>
      <c r="D96" s="32"/>
      <c r="E96" s="33"/>
      <c r="F96" s="23"/>
      <c r="G96" s="34">
        <f>ROUND(E96*G97*G98/10000,1)</f>
        <v>0</v>
      </c>
      <c r="H96" s="34">
        <f>ROUND(G96*H97*H98/10000,1)</f>
        <v>0</v>
      </c>
      <c r="I96" s="34">
        <f>ROUND(G96*I97*I98/10000,1)</f>
        <v>0</v>
      </c>
      <c r="J96" s="34">
        <f t="shared" ref="J96:P96" si="30">ROUND(G96*J97*J98/10000,1)</f>
        <v>0</v>
      </c>
      <c r="K96" s="34">
        <f t="shared" si="30"/>
        <v>0</v>
      </c>
      <c r="L96" s="34">
        <f t="shared" si="30"/>
        <v>0</v>
      </c>
      <c r="M96" s="34">
        <f t="shared" si="30"/>
        <v>0</v>
      </c>
      <c r="N96" s="34">
        <f t="shared" si="30"/>
        <v>0</v>
      </c>
      <c r="O96" s="34">
        <f t="shared" si="30"/>
        <v>0</v>
      </c>
      <c r="P96" s="34">
        <f t="shared" si="30"/>
        <v>0</v>
      </c>
      <c r="R96" s="46"/>
      <c r="S96" s="46"/>
      <c r="T96" s="46"/>
      <c r="U96" s="46"/>
      <c r="V96" s="46"/>
      <c r="W96" s="46"/>
      <c r="X96" s="46"/>
      <c r="Y96" s="46"/>
      <c r="Z96" s="46"/>
      <c r="AA96" s="46"/>
    </row>
    <row r="97" spans="2:27" s="36" customFormat="1" ht="36" hidden="1" customHeight="1">
      <c r="B97" s="49" t="s">
        <v>106</v>
      </c>
      <c r="C97" s="31" t="s">
        <v>24</v>
      </c>
      <c r="D97" s="32"/>
      <c r="E97" s="33"/>
      <c r="F97" s="23"/>
      <c r="G97" s="34">
        <v>105.24629255261478</v>
      </c>
      <c r="H97" s="34">
        <v>105</v>
      </c>
      <c r="I97" s="34">
        <v>105.60861191573676</v>
      </c>
      <c r="J97" s="34">
        <f>I97</f>
        <v>105.60861191573676</v>
      </c>
      <c r="K97" s="34">
        <v>105</v>
      </c>
      <c r="L97" s="34">
        <v>105.53844407708949</v>
      </c>
      <c r="M97" s="34">
        <f>L97</f>
        <v>105.53844407708949</v>
      </c>
      <c r="N97" s="34">
        <v>105.2</v>
      </c>
      <c r="O97" s="34">
        <v>105.27096062592705</v>
      </c>
      <c r="P97" s="34">
        <f>O97</f>
        <v>105.27096062592705</v>
      </c>
      <c r="R97" s="46"/>
      <c r="S97" s="46"/>
      <c r="T97" s="46"/>
      <c r="U97" s="46"/>
      <c r="V97" s="46"/>
      <c r="W97" s="46"/>
      <c r="X97" s="46"/>
      <c r="Y97" s="46"/>
      <c r="Z97" s="46"/>
      <c r="AA97" s="46"/>
    </row>
    <row r="98" spans="2:27" s="36" customFormat="1" ht="36" hidden="1" customHeight="1">
      <c r="B98" s="49" t="s">
        <v>107</v>
      </c>
      <c r="C98" s="31" t="s">
        <v>20</v>
      </c>
      <c r="D98" s="32"/>
      <c r="E98" s="33"/>
      <c r="F98" s="23"/>
      <c r="G98" s="34"/>
      <c r="H98" s="34"/>
      <c r="I98" s="34"/>
      <c r="J98" s="34"/>
      <c r="K98" s="34"/>
      <c r="L98" s="34"/>
      <c r="M98" s="34"/>
      <c r="N98" s="34"/>
      <c r="O98" s="34"/>
      <c r="P98" s="34"/>
      <c r="R98" s="46"/>
      <c r="S98" s="46"/>
      <c r="T98" s="46"/>
      <c r="U98" s="46"/>
      <c r="V98" s="46"/>
      <c r="W98" s="46"/>
      <c r="X98" s="46"/>
      <c r="Y98" s="46"/>
      <c r="Z98" s="46"/>
      <c r="AA98" s="46"/>
    </row>
    <row r="99" spans="2:27" ht="37.5">
      <c r="B99" s="20" t="s">
        <v>108</v>
      </c>
      <c r="C99" s="11"/>
      <c r="D99" s="21"/>
      <c r="E99" s="22"/>
      <c r="F99" s="23"/>
      <c r="G99" s="22"/>
      <c r="H99" s="22"/>
      <c r="I99" s="22"/>
      <c r="J99" s="22"/>
      <c r="K99" s="22"/>
      <c r="L99" s="22"/>
      <c r="M99" s="22"/>
      <c r="N99" s="22"/>
      <c r="O99" s="22"/>
      <c r="P99" s="22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spans="2:27" ht="75">
      <c r="B100" s="25" t="s">
        <v>109</v>
      </c>
      <c r="C100" s="11" t="s">
        <v>18</v>
      </c>
      <c r="D100" s="21">
        <v>50.942799999999998</v>
      </c>
      <c r="E100" s="22">
        <v>55.8842</v>
      </c>
      <c r="F100" s="27">
        <v>40.939599999999999</v>
      </c>
      <c r="G100" s="22">
        <f>ROUND(E100*G101*G102/10000,1)</f>
        <v>61.8</v>
      </c>
      <c r="H100" s="22">
        <f>ROUND(G100*H101*H102/10000,1)</f>
        <v>64.900000000000006</v>
      </c>
      <c r="I100" s="22">
        <f>ROUND(G100*I101*I102/10000,1)</f>
        <v>66.900000000000006</v>
      </c>
      <c r="J100" s="22">
        <f t="shared" ref="J100:P100" si="31">ROUND(G100*J101*J102/10000,1)</f>
        <v>68.2</v>
      </c>
      <c r="K100" s="22">
        <f t="shared" si="31"/>
        <v>68.400000000000006</v>
      </c>
      <c r="L100" s="22">
        <f t="shared" si="31"/>
        <v>72.599999999999994</v>
      </c>
      <c r="M100" s="22">
        <f t="shared" si="31"/>
        <v>75.400000000000006</v>
      </c>
      <c r="N100" s="22">
        <f t="shared" si="31"/>
        <v>72.3</v>
      </c>
      <c r="O100" s="22">
        <f t="shared" si="31"/>
        <v>79</v>
      </c>
      <c r="P100" s="22">
        <f t="shared" si="31"/>
        <v>83.6</v>
      </c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spans="2:27" ht="56.25">
      <c r="B101" s="25" t="s">
        <v>110</v>
      </c>
      <c r="C101" s="11" t="s">
        <v>24</v>
      </c>
      <c r="D101" s="21"/>
      <c r="E101" s="22">
        <v>103.9</v>
      </c>
      <c r="F101" s="27">
        <v>105.3</v>
      </c>
      <c r="G101" s="29">
        <v>105.32448689334677</v>
      </c>
      <c r="H101" s="45">
        <v>104.24834224071758</v>
      </c>
      <c r="I101" s="29">
        <v>104.24834224071758</v>
      </c>
      <c r="J101" s="29">
        <f>I101</f>
        <v>104.24834224071758</v>
      </c>
      <c r="K101" s="45">
        <v>104.04454909660159</v>
      </c>
      <c r="L101" s="29">
        <v>104.04454909660159</v>
      </c>
      <c r="M101" s="29">
        <f>L101</f>
        <v>104.04454909660159</v>
      </c>
      <c r="N101" s="45">
        <v>104.04307257711692</v>
      </c>
      <c r="O101" s="29">
        <v>104.04307257711692</v>
      </c>
      <c r="P101" s="29">
        <f>O101</f>
        <v>104.04307257711692</v>
      </c>
    </row>
    <row r="102" spans="2:27" ht="56.25">
      <c r="B102" s="25" t="s">
        <v>111</v>
      </c>
      <c r="C102" s="11" t="s">
        <v>20</v>
      </c>
      <c r="D102" s="21"/>
      <c r="E102" s="22">
        <f>E100/D100/E101*10000</f>
        <v>105.58219317605933</v>
      </c>
      <c r="F102" s="23">
        <v>156.4</v>
      </c>
      <c r="G102" s="22">
        <v>105</v>
      </c>
      <c r="H102" s="22">
        <v>100.8</v>
      </c>
      <c r="I102" s="22">
        <v>103.8</v>
      </c>
      <c r="J102" s="22">
        <v>105.8</v>
      </c>
      <c r="K102" s="22">
        <v>101.3</v>
      </c>
      <c r="L102" s="22">
        <v>104.3</v>
      </c>
      <c r="M102" s="22">
        <v>106.3</v>
      </c>
      <c r="N102" s="22">
        <v>101.6</v>
      </c>
      <c r="O102" s="22">
        <v>104.6</v>
      </c>
      <c r="P102" s="22">
        <v>106.6</v>
      </c>
    </row>
    <row r="103" spans="2:27" ht="56.25">
      <c r="B103" s="40" t="s">
        <v>112</v>
      </c>
      <c r="C103" s="11"/>
      <c r="D103" s="21"/>
      <c r="E103" s="22"/>
      <c r="F103" s="23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2:27" ht="75">
      <c r="B104" s="25" t="s">
        <v>113</v>
      </c>
      <c r="C104" s="11" t="s">
        <v>18</v>
      </c>
      <c r="D104" s="21">
        <v>37.619700000000002</v>
      </c>
      <c r="E104" s="22">
        <v>37.168300000000002</v>
      </c>
      <c r="F104" s="27">
        <v>17.813700000000001</v>
      </c>
      <c r="G104" s="22">
        <f>ROUND(E104*G105*G106/10000,1)</f>
        <v>40.4</v>
      </c>
      <c r="H104" s="22">
        <f>ROUND(G104*H105*H106/10000,1)</f>
        <v>42.4</v>
      </c>
      <c r="I104" s="22">
        <f>ROUND(G104*I105*I106/10000,1)</f>
        <v>43.7</v>
      </c>
      <c r="J104" s="22">
        <f t="shared" ref="J104:P104" si="32">ROUND(G104*J105*J106/10000,1)</f>
        <v>44.5</v>
      </c>
      <c r="K104" s="22">
        <f t="shared" si="32"/>
        <v>44.7</v>
      </c>
      <c r="L104" s="22">
        <f t="shared" si="32"/>
        <v>47.4</v>
      </c>
      <c r="M104" s="22">
        <f t="shared" si="32"/>
        <v>49.2</v>
      </c>
      <c r="N104" s="22">
        <f t="shared" si="32"/>
        <v>47.3</v>
      </c>
      <c r="O104" s="22">
        <f t="shared" si="32"/>
        <v>51.6</v>
      </c>
      <c r="P104" s="22">
        <f t="shared" si="32"/>
        <v>54.5</v>
      </c>
    </row>
    <row r="105" spans="2:27" ht="56.25">
      <c r="B105" s="44" t="s">
        <v>114</v>
      </c>
      <c r="C105" s="11" t="s">
        <v>24</v>
      </c>
      <c r="D105" s="21"/>
      <c r="E105" s="22">
        <v>110.1</v>
      </c>
      <c r="F105" s="27">
        <v>104.6</v>
      </c>
      <c r="G105" s="22">
        <v>104.59630531866004</v>
      </c>
      <c r="H105" s="22">
        <v>104.14544053123909</v>
      </c>
      <c r="I105" s="22">
        <v>104.1</v>
      </c>
      <c r="J105" s="22">
        <f>I105</f>
        <v>104.1</v>
      </c>
      <c r="K105" s="22">
        <v>104.04765411831252</v>
      </c>
      <c r="L105" s="22">
        <v>104.04419522190756</v>
      </c>
      <c r="M105" s="22">
        <f>L105</f>
        <v>104.04419522190756</v>
      </c>
      <c r="N105" s="22">
        <v>104.04939808214655</v>
      </c>
      <c r="O105" s="22">
        <v>104</v>
      </c>
      <c r="P105" s="22">
        <f>O105</f>
        <v>104</v>
      </c>
    </row>
    <row r="106" spans="2:27" ht="56.25">
      <c r="B106" s="44" t="s">
        <v>115</v>
      </c>
      <c r="C106" s="11" t="s">
        <v>20</v>
      </c>
      <c r="D106" s="21"/>
      <c r="E106" s="22">
        <f>E104/D104/E105*10000</f>
        <v>89.736690969859893</v>
      </c>
      <c r="F106" s="23">
        <v>85.4</v>
      </c>
      <c r="G106" s="50">
        <v>103.8</v>
      </c>
      <c r="H106" s="22">
        <v>100.8</v>
      </c>
      <c r="I106" s="22">
        <v>103.8</v>
      </c>
      <c r="J106" s="22">
        <v>105.8</v>
      </c>
      <c r="K106" s="22">
        <v>101.3</v>
      </c>
      <c r="L106" s="22">
        <v>104.3</v>
      </c>
      <c r="M106" s="22">
        <v>106.3</v>
      </c>
      <c r="N106" s="22">
        <v>101.6</v>
      </c>
      <c r="O106" s="22">
        <v>104.6</v>
      </c>
      <c r="P106" s="22">
        <v>106.6</v>
      </c>
    </row>
    <row r="107" spans="2:27" ht="18" customHeight="1">
      <c r="B107" s="9" t="s">
        <v>116</v>
      </c>
      <c r="C107" s="11"/>
      <c r="D107" s="21"/>
      <c r="E107" s="22"/>
      <c r="F107" s="23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2:27" ht="18.75">
      <c r="B108" s="52" t="s">
        <v>117</v>
      </c>
      <c r="C108" s="53" t="s">
        <v>118</v>
      </c>
      <c r="D108" s="54">
        <f>D112+D115</f>
        <v>15417.2</v>
      </c>
      <c r="E108" s="54">
        <f>E112+E115</f>
        <v>16523</v>
      </c>
      <c r="F108" s="55">
        <f>F112+F115</f>
        <v>0</v>
      </c>
      <c r="G108" s="54">
        <f>G112+G115</f>
        <v>17363.2</v>
      </c>
      <c r="H108" s="54">
        <f t="shared" ref="H108:P108" si="33">H112+H115</f>
        <v>18096.5</v>
      </c>
      <c r="I108" s="54">
        <f>I112+I115</f>
        <v>18263.8</v>
      </c>
      <c r="J108" s="54">
        <f>J112+J115</f>
        <v>18320.900000000001</v>
      </c>
      <c r="K108" s="54">
        <f t="shared" si="33"/>
        <v>18937.599999999999</v>
      </c>
      <c r="L108" s="54">
        <f t="shared" si="33"/>
        <v>19264.2</v>
      </c>
      <c r="M108" s="54">
        <f t="shared" si="33"/>
        <v>19409.3</v>
      </c>
      <c r="N108" s="54">
        <f>N112+N115</f>
        <v>19964</v>
      </c>
      <c r="O108" s="54">
        <f t="shared" si="33"/>
        <v>20433.100000000002</v>
      </c>
      <c r="P108" s="54">
        <f t="shared" si="33"/>
        <v>20682.099999999999</v>
      </c>
    </row>
    <row r="109" spans="2:27" ht="56.25">
      <c r="B109" s="15" t="s">
        <v>119</v>
      </c>
      <c r="C109" s="11" t="s">
        <v>20</v>
      </c>
      <c r="D109" s="21">
        <v>114.2</v>
      </c>
      <c r="E109" s="22">
        <f>E108/D108/E110*10000</f>
        <v>106.53330877408409</v>
      </c>
      <c r="F109" s="23"/>
      <c r="G109" s="22">
        <f>ROUND(G108/E108/G110*10000,1)</f>
        <v>101.5</v>
      </c>
      <c r="H109" s="22">
        <f>ROUND(H108/G108/H110*10000,1)</f>
        <v>100.4</v>
      </c>
      <c r="I109" s="22">
        <f>ROUND(I108/G108/I110*10000,1)</f>
        <v>101.9</v>
      </c>
      <c r="J109" s="22">
        <f t="shared" ref="J109:P109" si="34">ROUND(J108/G108/J110*10000,1)</f>
        <v>102.2</v>
      </c>
      <c r="K109" s="22">
        <f t="shared" si="34"/>
        <v>100.9</v>
      </c>
      <c r="L109" s="22">
        <f t="shared" si="34"/>
        <v>102</v>
      </c>
      <c r="M109" s="22">
        <f t="shared" si="34"/>
        <v>102.5</v>
      </c>
      <c r="N109" s="22">
        <f t="shared" si="34"/>
        <v>101.7</v>
      </c>
      <c r="O109" s="22">
        <f t="shared" si="34"/>
        <v>102.4</v>
      </c>
      <c r="P109" s="22">
        <f t="shared" si="34"/>
        <v>102.9</v>
      </c>
    </row>
    <row r="110" spans="2:27" ht="37.5">
      <c r="B110" s="15" t="s">
        <v>120</v>
      </c>
      <c r="C110" s="11" t="s">
        <v>24</v>
      </c>
      <c r="D110" s="21">
        <v>97</v>
      </c>
      <c r="E110" s="22">
        <v>100.6</v>
      </c>
      <c r="F110" s="23"/>
      <c r="G110" s="22">
        <v>103.5</v>
      </c>
      <c r="H110" s="22">
        <v>103.8</v>
      </c>
      <c r="I110" s="22">
        <v>103.2</v>
      </c>
      <c r="J110" s="22">
        <f>I110</f>
        <v>103.2</v>
      </c>
      <c r="K110" s="22">
        <v>103.7</v>
      </c>
      <c r="L110" s="22">
        <v>103.4</v>
      </c>
      <c r="M110" s="22">
        <f>L110</f>
        <v>103.4</v>
      </c>
      <c r="N110" s="22">
        <v>103.7</v>
      </c>
      <c r="O110" s="22">
        <v>103.6</v>
      </c>
      <c r="P110" s="22">
        <f>O110</f>
        <v>103.6</v>
      </c>
    </row>
    <row r="111" spans="2:27" ht="37.5">
      <c r="B111" s="15" t="s">
        <v>121</v>
      </c>
      <c r="C111" s="11"/>
      <c r="D111" s="21"/>
      <c r="E111" s="22"/>
      <c r="F111" s="23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2:27" ht="18.75">
      <c r="B112" s="15" t="s">
        <v>122</v>
      </c>
      <c r="C112" s="11" t="s">
        <v>123</v>
      </c>
      <c r="D112" s="21">
        <v>2723.5</v>
      </c>
      <c r="E112" s="22">
        <v>3000</v>
      </c>
      <c r="F112" s="23"/>
      <c r="G112" s="22">
        <f>ROUND(E112*G113*G114/10000,1)</f>
        <v>3130.1</v>
      </c>
      <c r="H112" s="22">
        <f>ROUND(G112*H113*H114/10000,1)</f>
        <v>3220.1</v>
      </c>
      <c r="I112" s="22">
        <f>ROUND(G112*I113*I114/10000,1)</f>
        <v>3253.2</v>
      </c>
      <c r="J112" s="22">
        <f t="shared" ref="J112:P112" si="35">ROUND(G112*J113*J114/10000,1)</f>
        <v>3266</v>
      </c>
      <c r="K112" s="22">
        <f t="shared" si="35"/>
        <v>3372.8</v>
      </c>
      <c r="L112" s="22">
        <f t="shared" si="35"/>
        <v>3464.7</v>
      </c>
      <c r="M112" s="22">
        <f t="shared" si="35"/>
        <v>3485.1</v>
      </c>
      <c r="N112" s="22">
        <f t="shared" si="35"/>
        <v>3501.4</v>
      </c>
      <c r="O112" s="22">
        <f t="shared" si="35"/>
        <v>3639.9</v>
      </c>
      <c r="P112" s="22">
        <f t="shared" si="35"/>
        <v>3690.1</v>
      </c>
    </row>
    <row r="113" spans="2:18" ht="56.25">
      <c r="B113" s="15" t="s">
        <v>124</v>
      </c>
      <c r="C113" s="11" t="s">
        <v>20</v>
      </c>
      <c r="D113" s="21">
        <v>79.8</v>
      </c>
      <c r="E113" s="22">
        <f>E112/D112/E114*10000</f>
        <v>109.27815223757945</v>
      </c>
      <c r="F113" s="23"/>
      <c r="G113" s="22">
        <v>101.2</v>
      </c>
      <c r="H113" s="22">
        <v>99.3</v>
      </c>
      <c r="I113" s="22">
        <v>101.2</v>
      </c>
      <c r="J113" s="22">
        <v>101.6</v>
      </c>
      <c r="K113" s="22">
        <v>101.2</v>
      </c>
      <c r="L113" s="22">
        <v>103.2</v>
      </c>
      <c r="M113" s="22">
        <v>103.4</v>
      </c>
      <c r="N113" s="22">
        <v>100.4</v>
      </c>
      <c r="O113" s="22">
        <v>101.7</v>
      </c>
      <c r="P113" s="22">
        <v>102.5</v>
      </c>
    </row>
    <row r="114" spans="2:18" ht="37.5">
      <c r="B114" s="15" t="s">
        <v>125</v>
      </c>
      <c r="C114" s="11" t="s">
        <v>24</v>
      </c>
      <c r="D114" s="21">
        <v>92.8</v>
      </c>
      <c r="E114" s="22">
        <v>100.8</v>
      </c>
      <c r="F114" s="23"/>
      <c r="G114" s="22">
        <v>103.1</v>
      </c>
      <c r="H114" s="22">
        <v>103.6</v>
      </c>
      <c r="I114" s="22">
        <v>102.7</v>
      </c>
      <c r="J114" s="22">
        <f>I114</f>
        <v>102.7</v>
      </c>
      <c r="K114" s="22">
        <v>103.5</v>
      </c>
      <c r="L114" s="22">
        <v>103.2</v>
      </c>
      <c r="M114" s="22">
        <f>L114</f>
        <v>103.2</v>
      </c>
      <c r="N114" s="22">
        <v>103.4</v>
      </c>
      <c r="O114" s="22">
        <v>103.3</v>
      </c>
      <c r="P114" s="22">
        <f>O114</f>
        <v>103.3</v>
      </c>
    </row>
    <row r="115" spans="2:18" ht="18.75">
      <c r="B115" s="15" t="s">
        <v>126</v>
      </c>
      <c r="C115" s="11" t="s">
        <v>123</v>
      </c>
      <c r="D115" s="21">
        <v>12693.7</v>
      </c>
      <c r="E115" s="22">
        <v>13523</v>
      </c>
      <c r="F115" s="23"/>
      <c r="G115" s="22">
        <f>ROUND(E115*G116*G117/10000,1)</f>
        <v>14233.1</v>
      </c>
      <c r="H115" s="22">
        <f>ROUND(G115*H116*H117/10000,1)</f>
        <v>14876.4</v>
      </c>
      <c r="I115" s="22">
        <f>ROUND(G115*I116*I117/10000,1)</f>
        <v>15010.6</v>
      </c>
      <c r="J115" s="22">
        <f t="shared" ref="J115:P115" si="36">ROUND(G115*J116*J117/10000,1)</f>
        <v>15054.9</v>
      </c>
      <c r="K115" s="22">
        <f t="shared" si="36"/>
        <v>15564.8</v>
      </c>
      <c r="L115" s="22">
        <f t="shared" si="36"/>
        <v>15799.5</v>
      </c>
      <c r="M115" s="22">
        <f t="shared" si="36"/>
        <v>15924.2</v>
      </c>
      <c r="N115" s="22">
        <f t="shared" si="36"/>
        <v>16462.599999999999</v>
      </c>
      <c r="O115" s="22">
        <f t="shared" si="36"/>
        <v>16793.2</v>
      </c>
      <c r="P115" s="22">
        <f t="shared" si="36"/>
        <v>16992</v>
      </c>
    </row>
    <row r="116" spans="2:18" ht="56.25">
      <c r="B116" s="15" t="s">
        <v>127</v>
      </c>
      <c r="C116" s="11" t="s">
        <v>20</v>
      </c>
      <c r="D116" s="21">
        <v>121.7</v>
      </c>
      <c r="E116" s="22">
        <f>E115/D115/E117*10000</f>
        <v>106.21451856409939</v>
      </c>
      <c r="F116" s="23"/>
      <c r="G116" s="22">
        <v>101.3</v>
      </c>
      <c r="H116" s="22">
        <v>100.5</v>
      </c>
      <c r="I116" s="22">
        <v>101.7</v>
      </c>
      <c r="J116" s="22">
        <v>102</v>
      </c>
      <c r="K116" s="22">
        <v>100.7</v>
      </c>
      <c r="L116" s="22">
        <v>101.5</v>
      </c>
      <c r="M116" s="22">
        <v>102</v>
      </c>
      <c r="N116" s="22">
        <v>101.7</v>
      </c>
      <c r="O116" s="22">
        <v>102.3</v>
      </c>
      <c r="P116" s="22">
        <v>102.7</v>
      </c>
    </row>
    <row r="117" spans="2:18" ht="37.5">
      <c r="B117" s="15" t="s">
        <v>128</v>
      </c>
      <c r="C117" s="11" t="s">
        <v>24</v>
      </c>
      <c r="D117" s="21">
        <v>101.8</v>
      </c>
      <c r="E117" s="22">
        <v>100.3</v>
      </c>
      <c r="F117" s="23"/>
      <c r="G117" s="22">
        <v>103.9</v>
      </c>
      <c r="H117" s="22">
        <v>104</v>
      </c>
      <c r="I117" s="22">
        <v>103.7</v>
      </c>
      <c r="J117" s="22">
        <f>I117</f>
        <v>103.7</v>
      </c>
      <c r="K117" s="22">
        <v>103.9</v>
      </c>
      <c r="L117" s="22">
        <v>103.7</v>
      </c>
      <c r="M117" s="22">
        <f>L117</f>
        <v>103.7</v>
      </c>
      <c r="N117" s="22">
        <v>104</v>
      </c>
      <c r="O117" s="22">
        <v>103.9</v>
      </c>
      <c r="P117" s="22">
        <f>O117</f>
        <v>103.9</v>
      </c>
    </row>
    <row r="118" spans="2:18" s="56" customFormat="1" ht="18" customHeight="1">
      <c r="B118" s="9" t="s">
        <v>129</v>
      </c>
      <c r="C118" s="11"/>
      <c r="D118" s="21"/>
      <c r="E118" s="22"/>
      <c r="F118" s="23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2:18" s="56" customFormat="1" ht="56.25">
      <c r="B119" s="15" t="s">
        <v>130</v>
      </c>
      <c r="C119" s="11" t="s">
        <v>131</v>
      </c>
      <c r="D119" s="21">
        <v>700.1</v>
      </c>
      <c r="E119" s="22">
        <v>710.7</v>
      </c>
      <c r="F119" s="27">
        <v>702.1</v>
      </c>
      <c r="G119" s="22">
        <v>702.1</v>
      </c>
      <c r="H119" s="22">
        <v>705</v>
      </c>
      <c r="I119" s="22">
        <v>705</v>
      </c>
      <c r="J119" s="22">
        <v>705</v>
      </c>
      <c r="K119" s="22">
        <v>707</v>
      </c>
      <c r="L119" s="22">
        <v>707</v>
      </c>
      <c r="M119" s="22">
        <v>707</v>
      </c>
      <c r="N119" s="22">
        <v>709</v>
      </c>
      <c r="O119" s="22">
        <v>709</v>
      </c>
      <c r="P119" s="22">
        <v>709</v>
      </c>
      <c r="Q119" s="57">
        <v>10.038</v>
      </c>
      <c r="R119" s="58"/>
    </row>
    <row r="120" spans="2:18" s="56" customFormat="1" ht="56.25">
      <c r="B120" s="15" t="s">
        <v>132</v>
      </c>
      <c r="C120" s="53" t="s">
        <v>133</v>
      </c>
      <c r="D120" s="21">
        <f>D119/Q$119</f>
        <v>69.74496911735406</v>
      </c>
      <c r="E120" s="21">
        <f>E119/Q119</f>
        <v>70.800956365809924</v>
      </c>
      <c r="F120" s="59">
        <f>F119/Q119</f>
        <v>69.944211994421195</v>
      </c>
      <c r="G120" s="21">
        <f>G119/Q119</f>
        <v>69.944211994421195</v>
      </c>
      <c r="H120" s="21">
        <f>H119/Q119</f>
        <v>70.233114166168562</v>
      </c>
      <c r="I120" s="21">
        <f>I119/Q119</f>
        <v>70.233114166168562</v>
      </c>
      <c r="J120" s="21">
        <f>J119/Q119</f>
        <v>70.233114166168562</v>
      </c>
      <c r="K120" s="21">
        <f>K119/Q119</f>
        <v>70.432357043235697</v>
      </c>
      <c r="L120" s="21">
        <f>L119/Q119</f>
        <v>70.432357043235697</v>
      </c>
      <c r="M120" s="21">
        <f>M119/Q119</f>
        <v>70.432357043235697</v>
      </c>
      <c r="N120" s="21">
        <f>N119/Q119</f>
        <v>70.631599920302847</v>
      </c>
      <c r="O120" s="21">
        <f>O119/Q119</f>
        <v>70.631599920302847</v>
      </c>
      <c r="P120" s="21">
        <f>P119/Q119</f>
        <v>70.631599920302847</v>
      </c>
    </row>
    <row r="121" spans="2:18" s="56" customFormat="1" ht="56.25">
      <c r="B121" s="15" t="s">
        <v>134</v>
      </c>
      <c r="C121" s="11" t="s">
        <v>135</v>
      </c>
      <c r="D121" s="21">
        <f>D119*100/1226.8</f>
        <v>57.067166612324748</v>
      </c>
      <c r="E121" s="21">
        <f>E119*100/1226.8</f>
        <v>57.931203130094559</v>
      </c>
      <c r="F121" s="17">
        <f t="shared" ref="F121:P121" si="37">F119*100/1219.6</f>
        <v>57.568055100032801</v>
      </c>
      <c r="G121" s="21">
        <f t="shared" si="37"/>
        <v>57.568055100032801</v>
      </c>
      <c r="H121" s="21">
        <f t="shared" si="37"/>
        <v>57.805837979665469</v>
      </c>
      <c r="I121" s="21">
        <f t="shared" si="37"/>
        <v>57.805837979665469</v>
      </c>
      <c r="J121" s="21">
        <f t="shared" si="37"/>
        <v>57.805837979665469</v>
      </c>
      <c r="K121" s="21">
        <f t="shared" si="37"/>
        <v>57.969826172515582</v>
      </c>
      <c r="L121" s="21">
        <f t="shared" si="37"/>
        <v>57.969826172515582</v>
      </c>
      <c r="M121" s="21">
        <f t="shared" si="37"/>
        <v>57.969826172515582</v>
      </c>
      <c r="N121" s="21">
        <f t="shared" si="37"/>
        <v>58.133814365365701</v>
      </c>
      <c r="O121" s="21">
        <f t="shared" si="37"/>
        <v>58.133814365365701</v>
      </c>
      <c r="P121" s="21">
        <f t="shared" si="37"/>
        <v>58.133814365365701</v>
      </c>
    </row>
    <row r="122" spans="2:18" ht="37.5">
      <c r="B122" s="9" t="s">
        <v>136</v>
      </c>
      <c r="C122" s="11"/>
      <c r="D122" s="21"/>
      <c r="E122" s="22"/>
      <c r="F122" s="23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2:18" ht="18" customHeight="1">
      <c r="B123" s="15" t="s">
        <v>137</v>
      </c>
      <c r="C123" s="11" t="s">
        <v>138</v>
      </c>
      <c r="D123" s="21">
        <v>50.4</v>
      </c>
      <c r="E123" s="22">
        <v>40.5</v>
      </c>
      <c r="F123" s="23"/>
      <c r="G123" s="22">
        <v>47.3</v>
      </c>
      <c r="H123" s="22">
        <v>47.3</v>
      </c>
      <c r="I123" s="22">
        <v>55.6</v>
      </c>
      <c r="J123" s="22">
        <v>56.1</v>
      </c>
      <c r="K123" s="22">
        <v>55.6</v>
      </c>
      <c r="L123" s="22">
        <v>60.2</v>
      </c>
      <c r="M123" s="22">
        <v>60.7</v>
      </c>
      <c r="N123" s="22">
        <v>60.2</v>
      </c>
      <c r="O123" s="22">
        <v>64.8</v>
      </c>
      <c r="P123" s="22">
        <v>65.3</v>
      </c>
    </row>
    <row r="124" spans="2:18" ht="18.75">
      <c r="B124" s="15" t="s">
        <v>139</v>
      </c>
      <c r="C124" s="11" t="s">
        <v>138</v>
      </c>
      <c r="D124" s="21">
        <v>2.5</v>
      </c>
      <c r="E124" s="22">
        <v>2</v>
      </c>
      <c r="F124" s="23"/>
      <c r="G124" s="22">
        <v>3.8</v>
      </c>
      <c r="H124" s="22">
        <v>3.8</v>
      </c>
      <c r="I124" s="22">
        <v>6.5</v>
      </c>
      <c r="J124" s="22">
        <v>7</v>
      </c>
      <c r="K124" s="22">
        <v>6.5</v>
      </c>
      <c r="L124" s="22">
        <v>9.6</v>
      </c>
      <c r="M124" s="22">
        <v>10.1</v>
      </c>
      <c r="N124" s="22">
        <v>9.6</v>
      </c>
      <c r="O124" s="22">
        <v>11.7</v>
      </c>
      <c r="P124" s="22">
        <v>12.2</v>
      </c>
    </row>
    <row r="125" spans="2:18" ht="18.75">
      <c r="B125" s="15" t="s">
        <v>140</v>
      </c>
      <c r="C125" s="11" t="s">
        <v>138</v>
      </c>
      <c r="D125" s="21">
        <v>84.1</v>
      </c>
      <c r="E125" s="22">
        <v>55.2</v>
      </c>
      <c r="F125" s="23"/>
      <c r="G125" s="22">
        <v>56.7</v>
      </c>
      <c r="H125" s="22">
        <v>56.7</v>
      </c>
      <c r="I125" s="22">
        <v>66.5</v>
      </c>
      <c r="J125" s="22">
        <v>69.5</v>
      </c>
      <c r="K125" s="22">
        <v>66.5</v>
      </c>
      <c r="L125" s="22">
        <v>74</v>
      </c>
      <c r="M125" s="22">
        <v>77</v>
      </c>
      <c r="N125" s="22">
        <v>74</v>
      </c>
      <c r="O125" s="22">
        <v>84</v>
      </c>
      <c r="P125" s="22">
        <v>87</v>
      </c>
    </row>
    <row r="126" spans="2:18" ht="18.75">
      <c r="B126" s="15" t="s">
        <v>141</v>
      </c>
      <c r="C126" s="11" t="s">
        <v>138</v>
      </c>
      <c r="D126" s="21">
        <v>33.6</v>
      </c>
      <c r="E126" s="22">
        <v>29.5</v>
      </c>
      <c r="F126" s="23"/>
      <c r="G126" s="22">
        <v>25.1</v>
      </c>
      <c r="H126" s="22">
        <v>25.1</v>
      </c>
      <c r="I126" s="22">
        <v>26.4</v>
      </c>
      <c r="J126" s="22">
        <v>28.4</v>
      </c>
      <c r="K126" s="22">
        <v>26.4</v>
      </c>
      <c r="L126" s="22">
        <v>27.8</v>
      </c>
      <c r="M126" s="22">
        <v>29.8</v>
      </c>
      <c r="N126" s="22">
        <v>27.8</v>
      </c>
      <c r="O126" s="22">
        <v>30.2</v>
      </c>
      <c r="P126" s="22">
        <v>32.200000000000003</v>
      </c>
    </row>
    <row r="127" spans="2:18" ht="18.75">
      <c r="B127" s="15" t="s">
        <v>142</v>
      </c>
      <c r="C127" s="11" t="s">
        <v>138</v>
      </c>
      <c r="D127" s="21">
        <v>104.7</v>
      </c>
      <c r="E127" s="22">
        <v>127</v>
      </c>
      <c r="F127" s="27">
        <v>93.8</v>
      </c>
      <c r="G127" s="22">
        <v>127.2</v>
      </c>
      <c r="H127" s="22">
        <v>127</v>
      </c>
      <c r="I127" s="22">
        <v>127.3</v>
      </c>
      <c r="J127" s="22">
        <v>127.5</v>
      </c>
      <c r="K127" s="22">
        <v>127</v>
      </c>
      <c r="L127" s="22">
        <v>127.4</v>
      </c>
      <c r="M127" s="22">
        <v>127.5</v>
      </c>
      <c r="N127" s="22">
        <v>127</v>
      </c>
      <c r="O127" s="22">
        <v>127.8</v>
      </c>
      <c r="P127" s="22">
        <v>128</v>
      </c>
    </row>
    <row r="128" spans="2:18" ht="18.75">
      <c r="B128" s="15" t="s">
        <v>143</v>
      </c>
      <c r="C128" s="11" t="s">
        <v>138</v>
      </c>
      <c r="D128" s="21">
        <v>34.200000000000003</v>
      </c>
      <c r="E128" s="22">
        <v>34.200000000000003</v>
      </c>
      <c r="F128" s="27">
        <v>18.399999999999999</v>
      </c>
      <c r="G128" s="22">
        <v>34.200000000000003</v>
      </c>
      <c r="H128" s="22">
        <v>31</v>
      </c>
      <c r="I128" s="22">
        <v>34.4</v>
      </c>
      <c r="J128" s="22">
        <v>34.700000000000003</v>
      </c>
      <c r="K128" s="22">
        <v>31.5</v>
      </c>
      <c r="L128" s="22">
        <v>34.5</v>
      </c>
      <c r="M128" s="22">
        <v>35</v>
      </c>
      <c r="N128" s="22">
        <v>31.7</v>
      </c>
      <c r="O128" s="22">
        <v>34.6</v>
      </c>
      <c r="P128" s="22">
        <v>35.200000000000003</v>
      </c>
    </row>
    <row r="129" spans="2:16" ht="18.75">
      <c r="B129" s="15" t="s">
        <v>144</v>
      </c>
      <c r="C129" s="11" t="s">
        <v>145</v>
      </c>
      <c r="D129" s="21">
        <v>102.7</v>
      </c>
      <c r="E129" s="22">
        <v>103.5</v>
      </c>
      <c r="F129" s="23">
        <v>41.6</v>
      </c>
      <c r="G129" s="22">
        <v>103.5</v>
      </c>
      <c r="H129" s="22">
        <v>103.5</v>
      </c>
      <c r="I129" s="22">
        <v>103.5</v>
      </c>
      <c r="J129" s="22">
        <v>103.5</v>
      </c>
      <c r="K129" s="22">
        <v>103.5</v>
      </c>
      <c r="L129" s="22">
        <v>103.5</v>
      </c>
      <c r="M129" s="22">
        <v>103.5</v>
      </c>
      <c r="N129" s="22">
        <v>103.5</v>
      </c>
      <c r="O129" s="22">
        <v>103.5</v>
      </c>
      <c r="P129" s="22">
        <v>103.5</v>
      </c>
    </row>
    <row r="130" spans="2:16" s="36" customFormat="1" ht="18" hidden="1" customHeight="1">
      <c r="B130" s="49" t="s">
        <v>146</v>
      </c>
      <c r="C130" s="31" t="s">
        <v>147</v>
      </c>
      <c r="D130" s="32"/>
      <c r="E130" s="33"/>
      <c r="F130" s="23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2:16" s="36" customFormat="1" ht="18" hidden="1" customHeight="1">
      <c r="B131" s="49" t="s">
        <v>148</v>
      </c>
      <c r="C131" s="31" t="s">
        <v>138</v>
      </c>
      <c r="D131" s="32"/>
      <c r="E131" s="33"/>
      <c r="F131" s="23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2:16" s="36" customFormat="1" ht="18" hidden="1" customHeight="1">
      <c r="B132" s="49" t="s">
        <v>149</v>
      </c>
      <c r="C132" s="31" t="s">
        <v>150</v>
      </c>
      <c r="D132" s="32"/>
      <c r="E132" s="33"/>
      <c r="F132" s="23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2:16" s="36" customFormat="1" ht="18" hidden="1" customHeight="1">
      <c r="B133" s="49" t="s">
        <v>151</v>
      </c>
      <c r="C133" s="31" t="s">
        <v>138</v>
      </c>
      <c r="D133" s="32"/>
      <c r="E133" s="33"/>
      <c r="F133" s="23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2:16" s="36" customFormat="1" ht="18" hidden="1" customHeight="1">
      <c r="B134" s="49" t="s">
        <v>152</v>
      </c>
      <c r="C134" s="31" t="s">
        <v>138</v>
      </c>
      <c r="D134" s="32"/>
      <c r="E134" s="33"/>
      <c r="F134" s="23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2:16" s="36" customFormat="1" ht="18" hidden="1" customHeight="1">
      <c r="B135" s="49" t="s">
        <v>153</v>
      </c>
      <c r="C135" s="31" t="s">
        <v>138</v>
      </c>
      <c r="D135" s="32"/>
      <c r="E135" s="33"/>
      <c r="F135" s="23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2:16" s="36" customFormat="1" ht="18" hidden="1" customHeight="1">
      <c r="B136" s="49" t="s">
        <v>154</v>
      </c>
      <c r="C136" s="31" t="s">
        <v>138</v>
      </c>
      <c r="D136" s="32"/>
      <c r="E136" s="33"/>
      <c r="F136" s="23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2:16" s="36" customFormat="1" ht="18" hidden="1" customHeight="1">
      <c r="B137" s="49" t="s">
        <v>155</v>
      </c>
      <c r="C137" s="31" t="s">
        <v>138</v>
      </c>
      <c r="D137" s="32"/>
      <c r="E137" s="33"/>
      <c r="F137" s="23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2:16" s="36" customFormat="1" ht="18" hidden="1" customHeight="1">
      <c r="B138" s="49" t="s">
        <v>156</v>
      </c>
      <c r="C138" s="31" t="s">
        <v>157</v>
      </c>
      <c r="D138" s="32"/>
      <c r="E138" s="33"/>
      <c r="F138" s="23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2:16" s="36" customFormat="1" ht="18" hidden="1" customHeight="1">
      <c r="B139" s="49" t="s">
        <v>158</v>
      </c>
      <c r="C139" s="31" t="s">
        <v>157</v>
      </c>
      <c r="D139" s="32"/>
      <c r="E139" s="33"/>
      <c r="F139" s="23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2:16" s="36" customFormat="1" ht="18" hidden="1" customHeight="1">
      <c r="B140" s="49" t="s">
        <v>159</v>
      </c>
      <c r="C140" s="31" t="s">
        <v>157</v>
      </c>
      <c r="D140" s="32"/>
      <c r="E140" s="33"/>
      <c r="F140" s="23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2:16" s="36" customFormat="1" ht="36" hidden="1" customHeight="1">
      <c r="B141" s="49" t="s">
        <v>160</v>
      </c>
      <c r="C141" s="31" t="s">
        <v>157</v>
      </c>
      <c r="D141" s="32"/>
      <c r="E141" s="33"/>
      <c r="F141" s="23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2:16" s="36" customFormat="1" ht="36" hidden="1" customHeight="1">
      <c r="B142" s="49" t="s">
        <v>161</v>
      </c>
      <c r="C142" s="31" t="s">
        <v>157</v>
      </c>
      <c r="D142" s="32"/>
      <c r="E142" s="33"/>
      <c r="F142" s="23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2:16" s="36" customFormat="1" ht="18" hidden="1" customHeight="1">
      <c r="B143" s="49" t="s">
        <v>162</v>
      </c>
      <c r="C143" s="31" t="s">
        <v>145</v>
      </c>
      <c r="D143" s="32"/>
      <c r="E143" s="33"/>
      <c r="F143" s="23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2:16" s="60" customFormat="1" ht="18" hidden="1" customHeight="1">
      <c r="B144" s="49" t="s">
        <v>163</v>
      </c>
      <c r="C144" s="31" t="s">
        <v>164</v>
      </c>
      <c r="D144" s="32"/>
      <c r="E144" s="33"/>
      <c r="F144" s="23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2:17" s="60" customFormat="1" ht="60.75" hidden="1" customHeight="1">
      <c r="B145" s="49" t="s">
        <v>165</v>
      </c>
      <c r="C145" s="31" t="s">
        <v>147</v>
      </c>
      <c r="D145" s="32"/>
      <c r="E145" s="33"/>
      <c r="F145" s="23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2:17" s="60" customFormat="1" ht="18" hidden="1" customHeight="1">
      <c r="B146" s="49" t="s">
        <v>166</v>
      </c>
      <c r="C146" s="31" t="s">
        <v>167</v>
      </c>
      <c r="D146" s="32"/>
      <c r="E146" s="33"/>
      <c r="F146" s="23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2:17" s="60" customFormat="1" ht="18" hidden="1" customHeight="1">
      <c r="B147" s="49" t="s">
        <v>168</v>
      </c>
      <c r="C147" s="31" t="s">
        <v>167</v>
      </c>
      <c r="D147" s="32"/>
      <c r="E147" s="33"/>
      <c r="F147" s="23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2:17" s="60" customFormat="1" ht="18" hidden="1" customHeight="1">
      <c r="B148" s="49" t="s">
        <v>169</v>
      </c>
      <c r="C148" s="31" t="s">
        <v>138</v>
      </c>
      <c r="D148" s="32"/>
      <c r="E148" s="33"/>
      <c r="F148" s="23"/>
      <c r="G148" s="34"/>
      <c r="H148" s="34"/>
      <c r="I148" s="34"/>
      <c r="J148" s="34"/>
      <c r="K148" s="34"/>
      <c r="L148" s="34"/>
      <c r="M148" s="34"/>
      <c r="N148" s="34"/>
      <c r="O148" s="34"/>
      <c r="P148" s="34"/>
    </row>
    <row r="149" spans="2:17" s="60" customFormat="1" ht="18" hidden="1" customHeight="1">
      <c r="B149" s="49" t="s">
        <v>170</v>
      </c>
      <c r="C149" s="31" t="s">
        <v>167</v>
      </c>
      <c r="D149" s="32"/>
      <c r="E149" s="33"/>
      <c r="F149" s="23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2:17" s="60" customFormat="1" ht="60.75" hidden="1" customHeight="1">
      <c r="B150" s="49" t="s">
        <v>171</v>
      </c>
      <c r="C150" s="31" t="s">
        <v>167</v>
      </c>
      <c r="D150" s="32"/>
      <c r="E150" s="33"/>
      <c r="F150" s="23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2:17" s="60" customFormat="1" ht="18" hidden="1" customHeight="1">
      <c r="B151" s="49" t="s">
        <v>172</v>
      </c>
      <c r="C151" s="31" t="s">
        <v>173</v>
      </c>
      <c r="D151" s="32"/>
      <c r="E151" s="33"/>
      <c r="F151" s="23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2:17" s="60" customFormat="1" ht="36" hidden="1" customHeight="1">
      <c r="B152" s="61" t="s">
        <v>174</v>
      </c>
      <c r="C152" s="31" t="s">
        <v>138</v>
      </c>
      <c r="D152" s="32"/>
      <c r="E152" s="33"/>
      <c r="F152" s="23"/>
      <c r="G152" s="34"/>
      <c r="H152" s="34"/>
      <c r="I152" s="34"/>
      <c r="J152" s="34"/>
      <c r="K152" s="34"/>
      <c r="L152" s="34"/>
      <c r="M152" s="34"/>
      <c r="N152" s="34"/>
      <c r="O152" s="34"/>
      <c r="P152" s="34"/>
    </row>
    <row r="153" spans="2:17" s="60" customFormat="1" ht="36" hidden="1" customHeight="1">
      <c r="B153" s="61" t="s">
        <v>175</v>
      </c>
      <c r="C153" s="31" t="s">
        <v>176</v>
      </c>
      <c r="D153" s="32"/>
      <c r="E153" s="33"/>
      <c r="F153" s="23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2:17" s="60" customFormat="1" ht="18" hidden="1" customHeight="1">
      <c r="B154" s="49" t="s">
        <v>177</v>
      </c>
      <c r="C154" s="31" t="s">
        <v>178</v>
      </c>
      <c r="D154" s="32"/>
      <c r="E154" s="33"/>
      <c r="F154" s="23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  <row r="155" spans="2:17" s="60" customFormat="1" ht="18" hidden="1" customHeight="1">
      <c r="B155" s="49" t="s">
        <v>179</v>
      </c>
      <c r="C155" s="31"/>
      <c r="D155" s="32"/>
      <c r="E155" s="33"/>
      <c r="F155" s="23"/>
      <c r="G155" s="34"/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2:17" s="60" customFormat="1" ht="18" hidden="1" customHeight="1">
      <c r="B156" s="49" t="s">
        <v>180</v>
      </c>
      <c r="C156" s="31" t="s">
        <v>178</v>
      </c>
      <c r="D156" s="32"/>
      <c r="E156" s="33"/>
      <c r="F156" s="23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60" t="s">
        <v>181</v>
      </c>
    </row>
    <row r="157" spans="2:17" s="60" customFormat="1" ht="18" hidden="1" customHeight="1">
      <c r="B157" s="49" t="s">
        <v>182</v>
      </c>
      <c r="C157" s="31" t="s">
        <v>178</v>
      </c>
      <c r="D157" s="32"/>
      <c r="E157" s="33"/>
      <c r="F157" s="23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2:17" s="60" customFormat="1" ht="18" hidden="1" customHeight="1">
      <c r="B158" s="49" t="s">
        <v>183</v>
      </c>
      <c r="C158" s="31" t="s">
        <v>178</v>
      </c>
      <c r="D158" s="32"/>
      <c r="E158" s="33"/>
      <c r="F158" s="23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2:17" s="56" customFormat="1" ht="18" customHeight="1">
      <c r="B159" s="9" t="s">
        <v>184</v>
      </c>
      <c r="C159" s="11"/>
      <c r="D159" s="21"/>
      <c r="E159" s="62"/>
      <c r="F159" s="63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2:17" s="56" customFormat="1" ht="56.25">
      <c r="B160" s="15" t="s">
        <v>185</v>
      </c>
      <c r="C160" s="53" t="s">
        <v>186</v>
      </c>
      <c r="D160" s="54">
        <v>503.81459999999998</v>
      </c>
      <c r="E160" s="22">
        <v>599.5394</v>
      </c>
      <c r="F160" s="27">
        <v>559.20000000000005</v>
      </c>
      <c r="G160" s="64">
        <f>ROUND(E160*G161*G162/10000,1)</f>
        <v>697.1</v>
      </c>
      <c r="H160" s="64">
        <f>ROUND(G160*H161*H162/10000,1)</f>
        <v>404.9</v>
      </c>
      <c r="I160" s="64">
        <f>ROUND(G160*I161*I162/10000,1)</f>
        <v>427.3</v>
      </c>
      <c r="J160" s="64">
        <f t="shared" ref="J160:P160" si="38">ROUND(G160*J161*J162/10000,1)</f>
        <v>553.1</v>
      </c>
      <c r="K160" s="64">
        <f t="shared" si="38"/>
        <v>366.2</v>
      </c>
      <c r="L160" s="64">
        <f t="shared" si="38"/>
        <v>447.7</v>
      </c>
      <c r="M160" s="64">
        <f t="shared" si="38"/>
        <v>647.70000000000005</v>
      </c>
      <c r="N160" s="64">
        <f t="shared" si="38"/>
        <v>387.1</v>
      </c>
      <c r="O160" s="64">
        <f t="shared" si="38"/>
        <v>476.2</v>
      </c>
      <c r="P160" s="64">
        <f t="shared" si="38"/>
        <v>693.7</v>
      </c>
    </row>
    <row r="161" spans="2:16" s="56" customFormat="1" ht="56.25">
      <c r="B161" s="15" t="s">
        <v>187</v>
      </c>
      <c r="C161" s="11" t="s">
        <v>20</v>
      </c>
      <c r="D161" s="21"/>
      <c r="E161" s="22">
        <f>E160/D160/E162*10000</f>
        <v>113.11787562797389</v>
      </c>
      <c r="F161" s="23">
        <v>154.80000000000001</v>
      </c>
      <c r="G161" s="50">
        <v>110</v>
      </c>
      <c r="H161" s="50">
        <v>55</v>
      </c>
      <c r="I161" s="50">
        <v>58.1</v>
      </c>
      <c r="J161" s="50">
        <v>75.2</v>
      </c>
      <c r="K161" s="50">
        <v>85.8</v>
      </c>
      <c r="L161" s="50">
        <v>99.4</v>
      </c>
      <c r="M161" s="50">
        <v>111.1</v>
      </c>
      <c r="N161" s="50">
        <v>100.3</v>
      </c>
      <c r="O161" s="50">
        <v>101.2</v>
      </c>
      <c r="P161" s="50">
        <v>101.9</v>
      </c>
    </row>
    <row r="162" spans="2:16" s="56" customFormat="1" ht="37.5">
      <c r="B162" s="15" t="s">
        <v>188</v>
      </c>
      <c r="C162" s="11" t="s">
        <v>24</v>
      </c>
      <c r="D162" s="21"/>
      <c r="E162" s="22">
        <v>105.2</v>
      </c>
      <c r="F162" s="27">
        <v>105.7</v>
      </c>
      <c r="G162" s="22">
        <v>105.7</v>
      </c>
      <c r="H162" s="22">
        <v>105.6</v>
      </c>
      <c r="I162" s="22">
        <v>105.5</v>
      </c>
      <c r="J162" s="22">
        <f>I162</f>
        <v>105.5</v>
      </c>
      <c r="K162" s="22">
        <v>105.4</v>
      </c>
      <c r="L162" s="22">
        <v>105.4</v>
      </c>
      <c r="M162" s="22">
        <f>L162</f>
        <v>105.4</v>
      </c>
      <c r="N162" s="22">
        <v>105.4</v>
      </c>
      <c r="O162" s="22">
        <v>105.1</v>
      </c>
      <c r="P162" s="22">
        <f>O162</f>
        <v>105.1</v>
      </c>
    </row>
    <row r="163" spans="2:16" s="56" customFormat="1" ht="37.5">
      <c r="B163" s="52" t="s">
        <v>189</v>
      </c>
      <c r="C163" s="53" t="s">
        <v>190</v>
      </c>
      <c r="D163" s="54">
        <v>183.79400000000001</v>
      </c>
      <c r="E163" s="22">
        <v>157.01900000000001</v>
      </c>
      <c r="F163" s="27">
        <v>41.7</v>
      </c>
      <c r="G163" s="22">
        <v>105</v>
      </c>
      <c r="H163" s="50">
        <v>78</v>
      </c>
      <c r="I163" s="50">
        <v>78</v>
      </c>
      <c r="J163" s="50">
        <v>87.1</v>
      </c>
      <c r="K163" s="50">
        <v>79</v>
      </c>
      <c r="L163" s="50">
        <v>83</v>
      </c>
      <c r="M163" s="50">
        <v>87</v>
      </c>
      <c r="N163" s="50">
        <v>80</v>
      </c>
      <c r="O163" s="50">
        <v>83</v>
      </c>
      <c r="P163" s="50">
        <v>87</v>
      </c>
    </row>
    <row r="164" spans="2:16" s="56" customFormat="1" ht="18.75">
      <c r="B164" s="52" t="s">
        <v>191</v>
      </c>
      <c r="C164" s="53" t="s">
        <v>192</v>
      </c>
      <c r="D164" s="54">
        <f>83.032*100/D163</f>
        <v>45.176665179494428</v>
      </c>
      <c r="E164" s="22">
        <f>72.844*100/E163</f>
        <v>46.391837930441532</v>
      </c>
      <c r="F164" s="27">
        <f>29.7*100/F163</f>
        <v>71.223021582733807</v>
      </c>
      <c r="G164" s="22">
        <f>G163*71%</f>
        <v>74.55</v>
      </c>
      <c r="H164" s="50">
        <v>88</v>
      </c>
      <c r="I164" s="50">
        <v>88</v>
      </c>
      <c r="J164" s="50">
        <v>89.5</v>
      </c>
      <c r="K164" s="50">
        <v>47</v>
      </c>
      <c r="L164" s="50">
        <v>62</v>
      </c>
      <c r="M164" s="50">
        <v>68.5</v>
      </c>
      <c r="N164" s="50">
        <v>50</v>
      </c>
      <c r="O164" s="50">
        <v>51</v>
      </c>
      <c r="P164" s="50">
        <v>52</v>
      </c>
    </row>
    <row r="165" spans="2:16" s="56" customFormat="1" ht="18" customHeight="1">
      <c r="B165" s="9" t="s">
        <v>193</v>
      </c>
      <c r="C165" s="11"/>
      <c r="D165" s="21"/>
      <c r="E165" s="22"/>
      <c r="F165" s="23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2:16" s="60" customFormat="1" ht="54" hidden="1" customHeight="1">
      <c r="B166" s="61" t="s">
        <v>194</v>
      </c>
      <c r="C166" s="31" t="s">
        <v>186</v>
      </c>
      <c r="D166" s="32"/>
      <c r="E166" s="33"/>
      <c r="F166" s="23"/>
      <c r="G166" s="34">
        <f>ROUND(E166*G167*G168/10000,1)</f>
        <v>0</v>
      </c>
      <c r="H166" s="34">
        <f>ROUND(G166*H167*H168/10000,1)</f>
        <v>0</v>
      </c>
      <c r="I166" s="34">
        <f>ROUND(G166*I167*I168/10000,1)</f>
        <v>0</v>
      </c>
      <c r="J166" s="34">
        <f t="shared" ref="J166:P166" si="39">ROUND(G166*J167*J168/10000,1)</f>
        <v>0</v>
      </c>
      <c r="K166" s="34">
        <f t="shared" si="39"/>
        <v>0</v>
      </c>
      <c r="L166" s="34">
        <f t="shared" si="39"/>
        <v>0</v>
      </c>
      <c r="M166" s="34">
        <f t="shared" si="39"/>
        <v>0</v>
      </c>
      <c r="N166" s="34">
        <f t="shared" si="39"/>
        <v>0</v>
      </c>
      <c r="O166" s="34">
        <f t="shared" si="39"/>
        <v>0</v>
      </c>
      <c r="P166" s="34">
        <f t="shared" si="39"/>
        <v>0</v>
      </c>
    </row>
    <row r="167" spans="2:16" s="60" customFormat="1" ht="36" hidden="1" customHeight="1">
      <c r="B167" s="61" t="s">
        <v>195</v>
      </c>
      <c r="C167" s="31" t="s">
        <v>20</v>
      </c>
      <c r="D167" s="32"/>
      <c r="E167" s="33"/>
      <c r="F167" s="23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2:16" s="60" customFormat="1" ht="18" hidden="1" customHeight="1">
      <c r="B168" s="49" t="s">
        <v>196</v>
      </c>
      <c r="C168" s="31" t="s">
        <v>24</v>
      </c>
      <c r="D168" s="32"/>
      <c r="E168" s="33"/>
      <c r="F168" s="23"/>
      <c r="G168" s="34">
        <v>104.93428647332964</v>
      </c>
      <c r="H168" s="34">
        <v>105.04285822794157</v>
      </c>
      <c r="I168" s="34">
        <v>105.04285822794157</v>
      </c>
      <c r="J168" s="34">
        <f>I168</f>
        <v>105.04285822794157</v>
      </c>
      <c r="K168" s="34">
        <v>104.4</v>
      </c>
      <c r="L168" s="34">
        <v>104.4</v>
      </c>
      <c r="M168" s="34">
        <f>L168</f>
        <v>104.4</v>
      </c>
      <c r="N168" s="34">
        <v>104.2</v>
      </c>
      <c r="O168" s="34">
        <v>104.2</v>
      </c>
      <c r="P168" s="34">
        <f>O168</f>
        <v>104.2</v>
      </c>
    </row>
    <row r="169" spans="2:16" s="56" customFormat="1" ht="75">
      <c r="B169" s="15" t="s">
        <v>197</v>
      </c>
      <c r="C169" s="11" t="s">
        <v>18</v>
      </c>
      <c r="D169" s="21">
        <v>2295.9859999999999</v>
      </c>
      <c r="E169" s="22">
        <v>2395.4079999999999</v>
      </c>
      <c r="F169" s="27">
        <v>1426.5</v>
      </c>
      <c r="G169" s="22">
        <f>ROUND(E169*G170*G171/10000,1)</f>
        <v>3008.5</v>
      </c>
      <c r="H169" s="22">
        <f>ROUND(G169*H170*H171/10000,1)</f>
        <v>3106.6</v>
      </c>
      <c r="I169" s="22">
        <f>ROUND(G169*I170*I171/10000,1)</f>
        <v>3598.2</v>
      </c>
      <c r="J169" s="22">
        <f t="shared" ref="J169:P169" si="40">ROUND(G169*J170*J171/10000,1)</f>
        <v>4029.9</v>
      </c>
      <c r="K169" s="22">
        <f t="shared" si="40"/>
        <v>3207.9</v>
      </c>
      <c r="L169" s="22">
        <f t="shared" si="40"/>
        <v>3933</v>
      </c>
      <c r="M169" s="22">
        <f t="shared" si="40"/>
        <v>4635.6000000000004</v>
      </c>
      <c r="N169" s="22">
        <f t="shared" si="40"/>
        <v>2160.6</v>
      </c>
      <c r="O169" s="22">
        <f t="shared" si="40"/>
        <v>3881.4</v>
      </c>
      <c r="P169" s="22">
        <f t="shared" si="40"/>
        <v>4873.8999999999996</v>
      </c>
    </row>
    <row r="170" spans="2:16" s="56" customFormat="1" ht="56.25">
      <c r="B170" s="15" t="s">
        <v>198</v>
      </c>
      <c r="C170" s="11" t="s">
        <v>20</v>
      </c>
      <c r="D170" s="21"/>
      <c r="E170" s="22">
        <f>E169/D169/E171*10000</f>
        <v>99.079062568677358</v>
      </c>
      <c r="F170" s="23">
        <v>128.5</v>
      </c>
      <c r="G170" s="22">
        <v>119.5</v>
      </c>
      <c r="H170" s="22">
        <v>99.1</v>
      </c>
      <c r="I170" s="22">
        <v>115</v>
      </c>
      <c r="J170" s="22">
        <v>128.80000000000001</v>
      </c>
      <c r="K170" s="22">
        <v>99.1</v>
      </c>
      <c r="L170" s="22">
        <v>105</v>
      </c>
      <c r="M170" s="22">
        <v>110.5</v>
      </c>
      <c r="N170" s="22">
        <v>64.7</v>
      </c>
      <c r="O170" s="22">
        <v>94.8</v>
      </c>
      <c r="P170" s="22">
        <v>101</v>
      </c>
    </row>
    <row r="171" spans="2:16" s="56" customFormat="1" ht="37.5">
      <c r="B171" s="15" t="s">
        <v>196</v>
      </c>
      <c r="C171" s="11" t="s">
        <v>24</v>
      </c>
      <c r="D171" s="21"/>
      <c r="E171" s="22">
        <v>105.3</v>
      </c>
      <c r="F171" s="27">
        <v>105.1</v>
      </c>
      <c r="G171" s="22">
        <v>105.1</v>
      </c>
      <c r="H171" s="22">
        <v>104.2</v>
      </c>
      <c r="I171" s="22">
        <v>104</v>
      </c>
      <c r="J171" s="22">
        <f>I171</f>
        <v>104</v>
      </c>
      <c r="K171" s="22">
        <v>104.2</v>
      </c>
      <c r="L171" s="22">
        <v>104.1</v>
      </c>
      <c r="M171" s="22">
        <f>L171</f>
        <v>104.1</v>
      </c>
      <c r="N171" s="22">
        <v>104.1</v>
      </c>
      <c r="O171" s="22">
        <v>104.1</v>
      </c>
      <c r="P171" s="22">
        <f>O171</f>
        <v>104.1</v>
      </c>
    </row>
    <row r="172" spans="2:16" s="56" customFormat="1" ht="79.5" customHeight="1">
      <c r="B172" s="65" t="s">
        <v>199</v>
      </c>
      <c r="C172" s="11"/>
      <c r="D172" s="51">
        <f>D169</f>
        <v>2295.9859999999999</v>
      </c>
      <c r="E172" s="51">
        <f>E173+E174</f>
        <v>2395.4079999999999</v>
      </c>
      <c r="F172" s="27">
        <f>F173+F174</f>
        <v>1426.4880000000001</v>
      </c>
      <c r="G172" s="22">
        <f>G169</f>
        <v>3008.5</v>
      </c>
      <c r="H172" s="22">
        <f t="shared" ref="H172:P172" si="41">H169</f>
        <v>3106.6</v>
      </c>
      <c r="I172" s="22">
        <f t="shared" si="41"/>
        <v>3598.2</v>
      </c>
      <c r="J172" s="22">
        <f t="shared" si="41"/>
        <v>4029.9</v>
      </c>
      <c r="K172" s="22">
        <f t="shared" si="41"/>
        <v>3207.9</v>
      </c>
      <c r="L172" s="22">
        <f t="shared" si="41"/>
        <v>3933</v>
      </c>
      <c r="M172" s="22">
        <f t="shared" si="41"/>
        <v>4635.6000000000004</v>
      </c>
      <c r="N172" s="22">
        <f t="shared" si="41"/>
        <v>2160.6</v>
      </c>
      <c r="O172" s="22">
        <f t="shared" si="41"/>
        <v>3881.4</v>
      </c>
      <c r="P172" s="22">
        <f t="shared" si="41"/>
        <v>4873.8999999999996</v>
      </c>
    </row>
    <row r="173" spans="2:16" s="56" customFormat="1" ht="18.75">
      <c r="B173" s="52" t="s">
        <v>200</v>
      </c>
      <c r="C173" s="11" t="s">
        <v>201</v>
      </c>
      <c r="D173" s="21"/>
      <c r="E173" s="22">
        <v>1533.1590000000001</v>
      </c>
      <c r="F173" s="27">
        <v>484.25900000000001</v>
      </c>
      <c r="G173" s="22">
        <f>G172*58.4%</f>
        <v>1756.9639999999999</v>
      </c>
      <c r="H173" s="22">
        <f>H172*70.6%</f>
        <v>2193.2595999999999</v>
      </c>
      <c r="I173" s="22">
        <f>I172*70.6%</f>
        <v>2540.3291999999997</v>
      </c>
      <c r="J173" s="22">
        <f>J172*70.6%</f>
        <v>2845.1093999999998</v>
      </c>
      <c r="K173" s="22">
        <f>K172*63.8%</f>
        <v>2046.6402</v>
      </c>
      <c r="L173" s="22">
        <f>L172*63.8%</f>
        <v>2509.2539999999999</v>
      </c>
      <c r="M173" s="22">
        <f>M172*63.8%</f>
        <v>2957.5128000000004</v>
      </c>
      <c r="N173" s="22">
        <f>N172*64.7%</f>
        <v>1397.9082000000001</v>
      </c>
      <c r="O173" s="22">
        <f>O172*64.7%</f>
        <v>2511.2658000000001</v>
      </c>
      <c r="P173" s="22">
        <f>P172*64.7%</f>
        <v>3153.4132999999997</v>
      </c>
    </row>
    <row r="174" spans="2:16" s="56" customFormat="1" ht="18.75">
      <c r="B174" s="52" t="s">
        <v>202</v>
      </c>
      <c r="C174" s="11" t="s">
        <v>201</v>
      </c>
      <c r="D174" s="22"/>
      <c r="E174" s="51">
        <f>619.857+E178+E183</f>
        <v>862.24899999999991</v>
      </c>
      <c r="F174" s="27">
        <v>942.22900000000004</v>
      </c>
      <c r="G174" s="22">
        <f>G172-G173</f>
        <v>1251.5360000000001</v>
      </c>
      <c r="H174" s="22">
        <f t="shared" ref="H174:P174" si="42">H172-H173</f>
        <v>913.34040000000005</v>
      </c>
      <c r="I174" s="22">
        <f t="shared" si="42"/>
        <v>1057.8708000000001</v>
      </c>
      <c r="J174" s="22">
        <f t="shared" si="42"/>
        <v>1184.7906000000003</v>
      </c>
      <c r="K174" s="22">
        <f t="shared" si="42"/>
        <v>1161.2598</v>
      </c>
      <c r="L174" s="22">
        <f t="shared" si="42"/>
        <v>1423.7460000000001</v>
      </c>
      <c r="M174" s="22">
        <f t="shared" si="42"/>
        <v>1678.0871999999999</v>
      </c>
      <c r="N174" s="22">
        <f t="shared" si="42"/>
        <v>762.69179999999983</v>
      </c>
      <c r="O174" s="22">
        <f t="shared" si="42"/>
        <v>1370.1342</v>
      </c>
      <c r="P174" s="22">
        <f t="shared" si="42"/>
        <v>1720.4866999999999</v>
      </c>
    </row>
    <row r="175" spans="2:16" s="60" customFormat="1" ht="18" hidden="1" customHeight="1">
      <c r="B175" s="49" t="s">
        <v>203</v>
      </c>
      <c r="C175" s="31" t="s">
        <v>201</v>
      </c>
      <c r="D175" s="18"/>
      <c r="E175" s="33"/>
      <c r="F175" s="23"/>
      <c r="G175" s="34"/>
      <c r="H175" s="34"/>
      <c r="I175" s="34"/>
      <c r="J175" s="34"/>
      <c r="K175" s="34"/>
      <c r="L175" s="34"/>
      <c r="M175" s="34"/>
      <c r="N175" s="34"/>
      <c r="O175" s="34"/>
      <c r="P175" s="34"/>
    </row>
    <row r="176" spans="2:16" s="60" customFormat="1" ht="18" hidden="1" customHeight="1">
      <c r="B176" s="49" t="s">
        <v>204</v>
      </c>
      <c r="C176" s="31" t="s">
        <v>201</v>
      </c>
      <c r="D176" s="18"/>
      <c r="E176" s="33"/>
      <c r="F176" s="23"/>
      <c r="G176" s="34"/>
      <c r="H176" s="34"/>
      <c r="I176" s="34"/>
      <c r="J176" s="34"/>
      <c r="K176" s="34"/>
      <c r="L176" s="34"/>
      <c r="M176" s="34"/>
      <c r="N176" s="34"/>
      <c r="O176" s="34"/>
      <c r="P176" s="34"/>
    </row>
    <row r="177" spans="2:16" s="60" customFormat="1" ht="18" hidden="1" customHeight="1">
      <c r="B177" s="49" t="s">
        <v>205</v>
      </c>
      <c r="C177" s="31" t="s">
        <v>201</v>
      </c>
      <c r="D177" s="18"/>
      <c r="E177" s="33"/>
      <c r="F177" s="23"/>
      <c r="G177" s="34"/>
      <c r="H177" s="34"/>
      <c r="I177" s="34"/>
      <c r="J177" s="34"/>
      <c r="K177" s="34"/>
      <c r="L177" s="34"/>
      <c r="M177" s="34"/>
      <c r="N177" s="34"/>
      <c r="O177" s="34"/>
      <c r="P177" s="34"/>
    </row>
    <row r="178" spans="2:16" s="56" customFormat="1" ht="18" hidden="1" customHeight="1">
      <c r="B178" s="49" t="s">
        <v>206</v>
      </c>
      <c r="C178" s="31" t="s">
        <v>201</v>
      </c>
      <c r="D178" s="22"/>
      <c r="E178" s="51">
        <f>E180+E181+E182</f>
        <v>148.506</v>
      </c>
      <c r="F178" s="23">
        <f>F180+F181+F182</f>
        <v>0</v>
      </c>
      <c r="G178" s="22">
        <f t="shared" ref="G178:P178" si="43">G180+G181+G182</f>
        <v>0</v>
      </c>
      <c r="H178" s="22">
        <f t="shared" si="43"/>
        <v>0</v>
      </c>
      <c r="I178" s="22">
        <f t="shared" si="43"/>
        <v>0</v>
      </c>
      <c r="J178" s="22">
        <f t="shared" si="43"/>
        <v>0</v>
      </c>
      <c r="K178" s="22">
        <f t="shared" si="43"/>
        <v>0</v>
      </c>
      <c r="L178" s="22">
        <f t="shared" si="43"/>
        <v>0</v>
      </c>
      <c r="M178" s="22">
        <f t="shared" si="43"/>
        <v>0</v>
      </c>
      <c r="N178" s="22">
        <f t="shared" si="43"/>
        <v>0</v>
      </c>
      <c r="O178" s="22">
        <f t="shared" si="43"/>
        <v>0</v>
      </c>
      <c r="P178" s="22">
        <f t="shared" si="43"/>
        <v>0</v>
      </c>
    </row>
    <row r="179" spans="2:16" s="56" customFormat="1" ht="18" hidden="1" customHeight="1">
      <c r="B179" s="49" t="s">
        <v>207</v>
      </c>
      <c r="C179" s="31"/>
      <c r="D179" s="21"/>
      <c r="E179" s="22"/>
      <c r="F179" s="23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2:16" s="56" customFormat="1" ht="18" hidden="1" customHeight="1">
      <c r="B180" s="61" t="s">
        <v>208</v>
      </c>
      <c r="C180" s="31" t="s">
        <v>201</v>
      </c>
      <c r="D180" s="21"/>
      <c r="E180" s="22">
        <v>5.4039999999999999</v>
      </c>
      <c r="F180" s="23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2:16" s="56" customFormat="1" ht="18" hidden="1" customHeight="1">
      <c r="B181" s="61" t="s">
        <v>209</v>
      </c>
      <c r="C181" s="31" t="s">
        <v>201</v>
      </c>
      <c r="D181" s="21"/>
      <c r="E181" s="22">
        <v>87.677999999999997</v>
      </c>
      <c r="F181" s="23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2:16" s="56" customFormat="1" ht="18" hidden="1" customHeight="1">
      <c r="B182" s="61" t="s">
        <v>210</v>
      </c>
      <c r="C182" s="31" t="s">
        <v>201</v>
      </c>
      <c r="D182" s="21"/>
      <c r="E182" s="22">
        <v>55.423999999999999</v>
      </c>
      <c r="F182" s="23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2:16" s="56" customFormat="1" ht="18" hidden="1" customHeight="1">
      <c r="B183" s="49" t="s">
        <v>211</v>
      </c>
      <c r="C183" s="31" t="s">
        <v>201</v>
      </c>
      <c r="D183" s="21"/>
      <c r="E183" s="22">
        <f>92.845+1.041</f>
        <v>93.885999999999996</v>
      </c>
      <c r="F183" s="23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2:16" s="56" customFormat="1" ht="18" customHeight="1">
      <c r="B184" s="9" t="s">
        <v>212</v>
      </c>
      <c r="C184" s="11"/>
      <c r="D184" s="21"/>
      <c r="E184" s="22"/>
      <c r="F184" s="23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2:16" ht="56.25">
      <c r="B185" s="52" t="s">
        <v>213</v>
      </c>
      <c r="C185" s="66" t="s">
        <v>186</v>
      </c>
      <c r="D185" s="67">
        <v>823.3</v>
      </c>
      <c r="E185" s="22">
        <v>1143.8</v>
      </c>
      <c r="F185" s="27">
        <v>654.70000000000005</v>
      </c>
      <c r="G185" s="22">
        <v>1555.8</v>
      </c>
      <c r="H185" s="22">
        <f>ROUND(G185*H186*H187/10000,1)</f>
        <v>1695.7</v>
      </c>
      <c r="I185" s="22">
        <f>ROUND(G185*I186*I187/10000,1)</f>
        <v>1708.5</v>
      </c>
      <c r="J185" s="22">
        <f t="shared" ref="J185:P185" si="44">ROUND(G185*J186*J187/10000,1)</f>
        <v>1724.6</v>
      </c>
      <c r="K185" s="22">
        <f t="shared" si="44"/>
        <v>1853.4</v>
      </c>
      <c r="L185" s="22">
        <f t="shared" si="44"/>
        <v>1881.6</v>
      </c>
      <c r="M185" s="22">
        <f t="shared" si="44"/>
        <v>1917.3</v>
      </c>
      <c r="N185" s="22">
        <f t="shared" si="44"/>
        <v>2023.5</v>
      </c>
      <c r="O185" s="22">
        <f t="shared" si="44"/>
        <v>2074.1999999999998</v>
      </c>
      <c r="P185" s="22">
        <f t="shared" si="44"/>
        <v>2133.5</v>
      </c>
    </row>
    <row r="186" spans="2:16" ht="56.25">
      <c r="B186" s="52" t="s">
        <v>213</v>
      </c>
      <c r="C186" s="66" t="s">
        <v>20</v>
      </c>
      <c r="D186" s="67"/>
      <c r="E186" s="22">
        <f>E185/D185/E187*10000</f>
        <v>134.75140792130463</v>
      </c>
      <c r="F186" s="27">
        <v>144.80000000000001</v>
      </c>
      <c r="G186" s="22">
        <v>129.30000000000001</v>
      </c>
      <c r="H186" s="22">
        <v>105</v>
      </c>
      <c r="I186" s="22">
        <v>106</v>
      </c>
      <c r="J186" s="22">
        <v>107</v>
      </c>
      <c r="K186" s="22">
        <v>105.2</v>
      </c>
      <c r="L186" s="22">
        <v>106</v>
      </c>
      <c r="M186" s="22">
        <v>107</v>
      </c>
      <c r="N186" s="22">
        <v>105.1</v>
      </c>
      <c r="O186" s="22">
        <v>106.1</v>
      </c>
      <c r="P186" s="22">
        <v>107.1</v>
      </c>
    </row>
    <row r="187" spans="2:16" ht="37.5">
      <c r="B187" s="15" t="s">
        <v>214</v>
      </c>
      <c r="C187" s="11" t="s">
        <v>24</v>
      </c>
      <c r="D187" s="21"/>
      <c r="E187" s="22">
        <v>103.1</v>
      </c>
      <c r="F187" s="23"/>
      <c r="G187" s="22">
        <v>105.2</v>
      </c>
      <c r="H187" s="22">
        <v>103.8</v>
      </c>
      <c r="I187" s="22">
        <v>103.6</v>
      </c>
      <c r="J187" s="22">
        <f>I187</f>
        <v>103.6</v>
      </c>
      <c r="K187" s="22">
        <v>103.9</v>
      </c>
      <c r="L187" s="22">
        <v>103.9</v>
      </c>
      <c r="M187" s="22">
        <f>L187</f>
        <v>103.9</v>
      </c>
      <c r="N187" s="22">
        <v>103.88070948645989</v>
      </c>
      <c r="O187" s="22">
        <v>103.9</v>
      </c>
      <c r="P187" s="22">
        <f>O187</f>
        <v>103.9</v>
      </c>
    </row>
    <row r="188" spans="2:16" ht="18.75">
      <c r="B188" s="15" t="s">
        <v>215</v>
      </c>
      <c r="C188" s="11" t="s">
        <v>18</v>
      </c>
      <c r="D188" s="21">
        <v>33.4</v>
      </c>
      <c r="E188" s="22">
        <v>116.2</v>
      </c>
      <c r="F188" s="23"/>
      <c r="G188" s="22">
        <f>ROUND(E188*G189*G190/10000,1)</f>
        <v>183.4</v>
      </c>
      <c r="H188" s="22">
        <f>ROUND(G188*H189*H190/10000,1)</f>
        <v>171.3</v>
      </c>
      <c r="I188" s="22">
        <f>ROUND(G188*I189*I190/10000,1)</f>
        <v>190</v>
      </c>
      <c r="J188" s="22">
        <f t="shared" ref="J188:P188" si="45">ROUND(G188*J189*J190/10000,1)</f>
        <v>193.8</v>
      </c>
      <c r="K188" s="22">
        <f t="shared" si="45"/>
        <v>162</v>
      </c>
      <c r="L188" s="22">
        <f t="shared" si="45"/>
        <v>197.4</v>
      </c>
      <c r="M188" s="22">
        <f t="shared" si="45"/>
        <v>203.4</v>
      </c>
      <c r="N188" s="22">
        <f t="shared" si="45"/>
        <v>154.80000000000001</v>
      </c>
      <c r="O188" s="22">
        <f t="shared" si="45"/>
        <v>205.1</v>
      </c>
      <c r="P188" s="22">
        <f t="shared" si="45"/>
        <v>215.6</v>
      </c>
    </row>
    <row r="189" spans="2:16" ht="56.25">
      <c r="B189" s="15" t="s">
        <v>215</v>
      </c>
      <c r="C189" s="11" t="s">
        <v>20</v>
      </c>
      <c r="D189" s="21"/>
      <c r="E189" s="22">
        <f>E188/D188/E190*10000</f>
        <v>337.44344482712557</v>
      </c>
      <c r="F189" s="23"/>
      <c r="G189" s="22">
        <v>150</v>
      </c>
      <c r="H189" s="22">
        <v>90</v>
      </c>
      <c r="I189" s="22">
        <v>100</v>
      </c>
      <c r="J189" s="22">
        <v>102</v>
      </c>
      <c r="K189" s="22">
        <v>91</v>
      </c>
      <c r="L189" s="22">
        <v>100</v>
      </c>
      <c r="M189" s="22">
        <v>101</v>
      </c>
      <c r="N189" s="22">
        <v>92</v>
      </c>
      <c r="O189" s="22">
        <v>100</v>
      </c>
      <c r="P189" s="22">
        <v>102</v>
      </c>
    </row>
    <row r="190" spans="2:16" s="56" customFormat="1" ht="56.25">
      <c r="B190" s="15" t="s">
        <v>216</v>
      </c>
      <c r="C190" s="11" t="s">
        <v>217</v>
      </c>
      <c r="D190" s="21"/>
      <c r="E190" s="22">
        <v>103.1</v>
      </c>
      <c r="F190" s="23"/>
      <c r="G190" s="22">
        <v>105.2</v>
      </c>
      <c r="H190" s="22">
        <v>103.8</v>
      </c>
      <c r="I190" s="22">
        <v>103.6</v>
      </c>
      <c r="J190" s="22">
        <f>I190</f>
        <v>103.6</v>
      </c>
      <c r="K190" s="22">
        <v>103.9</v>
      </c>
      <c r="L190" s="22">
        <v>103.9</v>
      </c>
      <c r="M190" s="22">
        <f>L190</f>
        <v>103.9</v>
      </c>
      <c r="N190" s="22">
        <v>103.88070948645989</v>
      </c>
      <c r="O190" s="22">
        <v>103.9</v>
      </c>
      <c r="P190" s="22">
        <f>O190</f>
        <v>103.9</v>
      </c>
    </row>
    <row r="191" spans="2:16" ht="37.5">
      <c r="B191" s="65" t="s">
        <v>218</v>
      </c>
      <c r="C191" s="66"/>
      <c r="D191" s="67"/>
      <c r="E191" s="22"/>
      <c r="F191" s="23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2:16" ht="56.25">
      <c r="B192" s="52" t="s">
        <v>219</v>
      </c>
      <c r="C192" s="53" t="s">
        <v>186</v>
      </c>
      <c r="D192" s="54">
        <f>D185-D193</f>
        <v>823.3</v>
      </c>
      <c r="E192" s="54">
        <f t="shared" ref="E192:P192" si="46">E185-E193</f>
        <v>1143.8</v>
      </c>
      <c r="F192" s="68">
        <f>F185-F193</f>
        <v>654.70000000000005</v>
      </c>
      <c r="G192" s="54">
        <f>G185-G193</f>
        <v>1555.8</v>
      </c>
      <c r="H192" s="54">
        <f t="shared" si="46"/>
        <v>1695.7</v>
      </c>
      <c r="I192" s="54">
        <f t="shared" si="46"/>
        <v>1708.5</v>
      </c>
      <c r="J192" s="54">
        <f t="shared" si="46"/>
        <v>1724.6</v>
      </c>
      <c r="K192" s="54">
        <f t="shared" si="46"/>
        <v>1853.4</v>
      </c>
      <c r="L192" s="54">
        <f t="shared" si="46"/>
        <v>1881.6</v>
      </c>
      <c r="M192" s="54">
        <f t="shared" si="46"/>
        <v>1917.3</v>
      </c>
      <c r="N192" s="54">
        <f>N185-N193</f>
        <v>2023.5</v>
      </c>
      <c r="O192" s="54">
        <f t="shared" si="46"/>
        <v>2074.1999999999998</v>
      </c>
      <c r="P192" s="54">
        <f t="shared" si="46"/>
        <v>2133.5</v>
      </c>
    </row>
    <row r="193" spans="2:16" s="36" customFormat="1" ht="54" hidden="1" customHeight="1">
      <c r="B193" s="61" t="s">
        <v>220</v>
      </c>
      <c r="C193" s="69" t="s">
        <v>186</v>
      </c>
      <c r="D193" s="70"/>
      <c r="E193" s="33"/>
      <c r="F193" s="23"/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spans="2:16" s="36" customFormat="1" ht="18" hidden="1" customHeight="1">
      <c r="B194" s="61" t="s">
        <v>221</v>
      </c>
      <c r="C194" s="71" t="s">
        <v>118</v>
      </c>
      <c r="D194" s="72">
        <f>ROUND(D185*D195/100,1)</f>
        <v>0</v>
      </c>
      <c r="E194" s="72">
        <f t="shared" ref="E194:P194" si="47">ROUND(E185*E195/100,1)</f>
        <v>0</v>
      </c>
      <c r="F194" s="73">
        <f t="shared" si="47"/>
        <v>0</v>
      </c>
      <c r="G194" s="72">
        <f t="shared" si="47"/>
        <v>0</v>
      </c>
      <c r="H194" s="72">
        <f t="shared" si="47"/>
        <v>0</v>
      </c>
      <c r="I194" s="72">
        <f>ROUND(I185*I195/100,1)</f>
        <v>0</v>
      </c>
      <c r="J194" s="72">
        <f>ROUND(J185*J195/100,1)</f>
        <v>0</v>
      </c>
      <c r="K194" s="72">
        <f t="shared" si="47"/>
        <v>0</v>
      </c>
      <c r="L194" s="72">
        <f t="shared" si="47"/>
        <v>0</v>
      </c>
      <c r="M194" s="72">
        <f t="shared" si="47"/>
        <v>0</v>
      </c>
      <c r="N194" s="72">
        <f t="shared" si="47"/>
        <v>0</v>
      </c>
      <c r="O194" s="72">
        <f t="shared" si="47"/>
        <v>0</v>
      </c>
      <c r="P194" s="72">
        <f t="shared" si="47"/>
        <v>0</v>
      </c>
    </row>
    <row r="195" spans="2:16" s="36" customFormat="1" ht="36" hidden="1" customHeight="1">
      <c r="B195" s="61" t="s">
        <v>221</v>
      </c>
      <c r="C195" s="71" t="s">
        <v>222</v>
      </c>
      <c r="D195" s="74"/>
      <c r="E195" s="33"/>
      <c r="F195" s="23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2:16" ht="18.75">
      <c r="B196" s="65" t="s">
        <v>223</v>
      </c>
      <c r="C196" s="53"/>
      <c r="D196" s="54"/>
      <c r="E196" s="22"/>
      <c r="F196" s="23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2:16" s="36" customFormat="1" ht="108" hidden="1" customHeight="1">
      <c r="B197" s="61" t="s">
        <v>224</v>
      </c>
      <c r="C197" s="71" t="s">
        <v>225</v>
      </c>
      <c r="D197" s="74"/>
      <c r="E197" s="33"/>
      <c r="F197" s="23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spans="2:16" s="36" customFormat="1" ht="108" hidden="1" customHeight="1">
      <c r="B198" s="61" t="s">
        <v>226</v>
      </c>
      <c r="C198" s="71" t="s">
        <v>225</v>
      </c>
      <c r="D198" s="72">
        <f>D185-D197</f>
        <v>823.3</v>
      </c>
      <c r="E198" s="72">
        <f>E185-E197</f>
        <v>1143.8</v>
      </c>
      <c r="F198" s="73">
        <f>F185-F197</f>
        <v>654.70000000000005</v>
      </c>
      <c r="G198" s="72">
        <f t="shared" ref="G198:P198" si="48">G185-G197</f>
        <v>1555.8</v>
      </c>
      <c r="H198" s="72">
        <f t="shared" si="48"/>
        <v>1695.7</v>
      </c>
      <c r="I198" s="72">
        <f t="shared" si="48"/>
        <v>1708.5</v>
      </c>
      <c r="J198" s="72">
        <f t="shared" si="48"/>
        <v>1724.6</v>
      </c>
      <c r="K198" s="72">
        <f t="shared" si="48"/>
        <v>1853.4</v>
      </c>
      <c r="L198" s="72">
        <f t="shared" si="48"/>
        <v>1881.6</v>
      </c>
      <c r="M198" s="72">
        <f t="shared" si="48"/>
        <v>1917.3</v>
      </c>
      <c r="N198" s="72">
        <f t="shared" si="48"/>
        <v>2023.5</v>
      </c>
      <c r="O198" s="72">
        <f t="shared" si="48"/>
        <v>2074.1999999999998</v>
      </c>
      <c r="P198" s="72">
        <f t="shared" si="48"/>
        <v>2133.5</v>
      </c>
    </row>
    <row r="199" spans="2:16" ht="18.75">
      <c r="B199" s="52" t="s">
        <v>227</v>
      </c>
      <c r="C199" s="66" t="s">
        <v>118</v>
      </c>
      <c r="D199" s="67">
        <v>616.4</v>
      </c>
      <c r="E199" s="22">
        <v>694.8</v>
      </c>
      <c r="F199" s="75">
        <v>566.95600000000002</v>
      </c>
      <c r="G199" s="22">
        <v>755.8</v>
      </c>
      <c r="H199" s="22">
        <f>ROUND(G199*H200*H201/10000,1)</f>
        <v>854.6</v>
      </c>
      <c r="I199" s="22">
        <f>ROUND(G199*I200*I201/10000,1)</f>
        <v>858.4</v>
      </c>
      <c r="J199" s="22">
        <f t="shared" ref="J199:P199" si="49">ROUND(G199*J200*J201/10000,1)</f>
        <v>866.3</v>
      </c>
      <c r="K199" s="22">
        <f t="shared" si="49"/>
        <v>964.5</v>
      </c>
      <c r="L199" s="22">
        <f t="shared" si="49"/>
        <v>978.6</v>
      </c>
      <c r="M199" s="22">
        <f t="shared" si="49"/>
        <v>995.8</v>
      </c>
      <c r="N199" s="22">
        <f t="shared" si="49"/>
        <v>1086.5</v>
      </c>
      <c r="O199" s="22">
        <f t="shared" si="49"/>
        <v>1114.7</v>
      </c>
      <c r="P199" s="22">
        <f t="shared" si="49"/>
        <v>1143.5999999999999</v>
      </c>
    </row>
    <row r="200" spans="2:16" ht="56.25">
      <c r="B200" s="52" t="s">
        <v>227</v>
      </c>
      <c r="C200" s="11" t="s">
        <v>20</v>
      </c>
      <c r="D200" s="21">
        <v>108.9</v>
      </c>
      <c r="E200" s="22">
        <f>E199/D199/E201*10000</f>
        <v>108.59249867775972</v>
      </c>
      <c r="F200" s="27">
        <v>111.6</v>
      </c>
      <c r="G200" s="22">
        <v>104</v>
      </c>
      <c r="H200" s="22">
        <v>108</v>
      </c>
      <c r="I200" s="22">
        <v>109</v>
      </c>
      <c r="J200" s="22">
        <v>110</v>
      </c>
      <c r="K200" s="22">
        <v>108.1</v>
      </c>
      <c r="L200" s="22">
        <v>109.2</v>
      </c>
      <c r="M200" s="22">
        <v>110.1</v>
      </c>
      <c r="N200" s="22">
        <v>108</v>
      </c>
      <c r="O200" s="22">
        <v>109.1</v>
      </c>
      <c r="P200" s="22">
        <v>110</v>
      </c>
    </row>
    <row r="201" spans="2:16" ht="37.5">
      <c r="B201" s="15" t="s">
        <v>228</v>
      </c>
      <c r="C201" s="11" t="s">
        <v>24</v>
      </c>
      <c r="D201" s="21">
        <v>100</v>
      </c>
      <c r="E201" s="22">
        <v>103.8</v>
      </c>
      <c r="F201" s="23"/>
      <c r="G201" s="22">
        <v>104.6</v>
      </c>
      <c r="H201" s="22">
        <v>104.7</v>
      </c>
      <c r="I201" s="22">
        <v>104.2</v>
      </c>
      <c r="J201" s="22">
        <f>I201</f>
        <v>104.2</v>
      </c>
      <c r="K201" s="22">
        <v>104.4</v>
      </c>
      <c r="L201" s="22">
        <v>104.4</v>
      </c>
      <c r="M201" s="22">
        <f>L201</f>
        <v>104.4</v>
      </c>
      <c r="N201" s="22">
        <v>104.3</v>
      </c>
      <c r="O201" s="22">
        <v>104.40445654713957</v>
      </c>
      <c r="P201" s="22">
        <f>O201</f>
        <v>104.40445654713957</v>
      </c>
    </row>
    <row r="202" spans="2:16" s="56" customFormat="1" ht="34.9" customHeight="1">
      <c r="B202" s="9" t="s">
        <v>229</v>
      </c>
      <c r="C202" s="11"/>
      <c r="D202" s="21"/>
      <c r="E202" s="22"/>
      <c r="F202" s="23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2:16" s="56" customFormat="1" ht="40.5" customHeight="1">
      <c r="B203" s="15" t="s">
        <v>230</v>
      </c>
      <c r="C203" s="11" t="s">
        <v>231</v>
      </c>
      <c r="D203" s="76">
        <v>2898</v>
      </c>
      <c r="E203" s="77">
        <v>2977</v>
      </c>
      <c r="F203" s="78">
        <v>2938</v>
      </c>
      <c r="G203" s="77">
        <v>2997</v>
      </c>
      <c r="H203" s="77">
        <v>3071.8641984732831</v>
      </c>
      <c r="I203" s="77">
        <v>3102.8931297709928</v>
      </c>
      <c r="J203" s="77">
        <v>3211.4943893129771</v>
      </c>
      <c r="K203" s="77">
        <v>3102.0383764799994</v>
      </c>
      <c r="L203" s="77">
        <v>3105.1435199999996</v>
      </c>
      <c r="M203" s="77">
        <v>3213.8235431999992</v>
      </c>
      <c r="N203" s="77">
        <v>3134.1311099999998</v>
      </c>
      <c r="O203" s="77">
        <v>3165.7889999999998</v>
      </c>
      <c r="P203" s="77">
        <v>3276.5916149999994</v>
      </c>
    </row>
    <row r="204" spans="2:16" s="56" customFormat="1" ht="56.25">
      <c r="B204" s="15" t="s">
        <v>232</v>
      </c>
      <c r="C204" s="53" t="s">
        <v>233</v>
      </c>
      <c r="D204" s="79">
        <v>5.8</v>
      </c>
      <c r="E204" s="50">
        <v>5.8</v>
      </c>
      <c r="F204" s="27">
        <v>5.8</v>
      </c>
      <c r="G204" s="50">
        <v>5.9</v>
      </c>
      <c r="H204" s="50">
        <v>5.9768279999999994</v>
      </c>
      <c r="I204" s="50">
        <v>6.0371999999999995</v>
      </c>
      <c r="J204" s="50">
        <v>6.2485019999999993</v>
      </c>
      <c r="K204" s="50">
        <v>6.0567595419847322</v>
      </c>
      <c r="L204" s="50">
        <v>6.1179389312977097</v>
      </c>
      <c r="M204" s="50">
        <v>6.3320667938931292</v>
      </c>
      <c r="N204" s="50">
        <v>6.1162536239999987</v>
      </c>
      <c r="O204" s="50">
        <v>6.1223759999999992</v>
      </c>
      <c r="P204" s="50">
        <v>6.3366591599999991</v>
      </c>
    </row>
    <row r="205" spans="2:16" s="56" customFormat="1" ht="37.5">
      <c r="B205" s="15" t="s">
        <v>234</v>
      </c>
      <c r="C205" s="11" t="s">
        <v>235</v>
      </c>
      <c r="D205" s="16">
        <v>13168.2</v>
      </c>
      <c r="E205" s="50">
        <v>13563.2</v>
      </c>
      <c r="F205" s="27">
        <v>6794.6500000000005</v>
      </c>
      <c r="G205" s="50">
        <v>13589.6</v>
      </c>
      <c r="H205" s="50">
        <v>13633.610427480919</v>
      </c>
      <c r="I205" s="50">
        <v>13771.323664122139</v>
      </c>
      <c r="J205" s="50">
        <v>14253.319992366412</v>
      </c>
      <c r="K205" s="50">
        <v>13767.530080607999</v>
      </c>
      <c r="L205" s="50">
        <v>13781.311392</v>
      </c>
      <c r="M205" s="50">
        <v>14263.657290719999</v>
      </c>
      <c r="N205" s="50">
        <v>13909.964706000001</v>
      </c>
      <c r="O205" s="50">
        <v>14050.4694</v>
      </c>
      <c r="P205" s="50">
        <v>14542.235828999999</v>
      </c>
    </row>
    <row r="206" spans="2:16" ht="18" customHeight="1">
      <c r="B206" s="20" t="s">
        <v>236</v>
      </c>
      <c r="C206" s="10"/>
      <c r="D206" s="16"/>
      <c r="E206" s="22"/>
      <c r="F206" s="23"/>
      <c r="G206" s="22"/>
      <c r="H206" s="22"/>
      <c r="I206" s="22"/>
      <c r="L206" s="22"/>
      <c r="O206" s="22"/>
      <c r="P206" s="22"/>
    </row>
    <row r="207" spans="2:16" ht="18.75">
      <c r="B207" s="80" t="s">
        <v>237</v>
      </c>
      <c r="C207" s="11" t="s">
        <v>118</v>
      </c>
      <c r="D207" s="16">
        <v>2965.1750000000002</v>
      </c>
      <c r="E207" s="22">
        <v>3297.2750000000001</v>
      </c>
      <c r="F207" s="27">
        <v>896.00900000000001</v>
      </c>
      <c r="G207" s="22">
        <f>(F207*3.5)*G12%*'[1]1.ИПЦ (базовый)'!M5%</f>
        <v>3258.560003509238</v>
      </c>
      <c r="H207" s="22">
        <f>G207*H12%*'[1]3.ИПЦ (консервативный)'!N5%</f>
        <v>3308.2070080175495</v>
      </c>
      <c r="I207" s="22">
        <f>H207*I12%*'[1]1.ИПЦ (базовый)'!N5%</f>
        <v>3436.223019149324</v>
      </c>
      <c r="J207" s="22">
        <f>I207*J12%*'[1]1.ИПЦ (базовый)'!N5%</f>
        <v>3658.2008289602395</v>
      </c>
      <c r="K207" s="22">
        <f>J207*K12%*'[1]3.ИПЦ (консервативный)'!O5%</f>
        <v>3610.8261492909578</v>
      </c>
      <c r="L207" s="22">
        <f>K207*L12%*'[1]1.ИПЦ (базовый)'!O5%</f>
        <v>3678.0887059756601</v>
      </c>
      <c r="M207" s="22">
        <f>L207*M12%*'[1]1.ИПЦ (базовый)'!O5%</f>
        <v>3862.2058040465076</v>
      </c>
      <c r="N207" s="22">
        <f>M207*N12%*'[1]3.ИПЦ (консервативный)'!P5%</f>
        <v>3817.2687676727764</v>
      </c>
      <c r="O207" s="22">
        <f>N207*O12%*'[1]1.ИПЦ (базовый)'!P5%</f>
        <v>3910.7615775088816</v>
      </c>
      <c r="P207" s="22">
        <f>O207*P12%*'[1]1.ИПЦ (базовый)'!P5%</f>
        <v>4145.93806369509</v>
      </c>
    </row>
    <row r="208" spans="2:16" s="84" customFormat="1" ht="18" hidden="1" customHeight="1">
      <c r="B208" s="81" t="s">
        <v>238</v>
      </c>
      <c r="C208" s="82" t="s">
        <v>118</v>
      </c>
      <c r="D208" s="83">
        <v>228.964</v>
      </c>
      <c r="E208" s="75">
        <v>384.666</v>
      </c>
      <c r="F208" s="27">
        <v>172.637</v>
      </c>
      <c r="G208" s="22">
        <f>(F208*2)*G12%*'[1]1.ИПЦ (базовый)'!M5%</f>
        <v>358.76426836007499</v>
      </c>
      <c r="H208" s="22">
        <f>G208*J12%*'[1]1.ИПЦ (базовый)'!N5%</f>
        <v>381.94021069128615</v>
      </c>
      <c r="I208" s="22">
        <f>G208*I12%*'[1]1.ИПЦ (базовый)'!N5%</f>
        <v>372.64718755490145</v>
      </c>
      <c r="J208" s="22">
        <f>G208*H12%*'[1]3.ИПЦ (консервативный)'!N5%</f>
        <v>364.23035498407819</v>
      </c>
      <c r="K208" s="22">
        <f>H208*M12%*'[1]1.ИПЦ (базовый)'!O5%</f>
        <v>401.0593045605554</v>
      </c>
      <c r="L208" s="22">
        <f>I208*L12%*'[1]1.ИПЦ (базовый)'!O5%</f>
        <v>379.58886836144717</v>
      </c>
      <c r="M208" s="22">
        <f>J208*K12%*'[1]3.ИПЦ (консервативный)'!O5%</f>
        <v>359.51347441902078</v>
      </c>
      <c r="N208" s="22">
        <f>K208*P12%*'[1]1.ИПЦ (базовый)'!P5%</f>
        <v>425.17729695908889</v>
      </c>
      <c r="O208" s="22">
        <f>L208*O12%*'[1]1.ИПЦ (базовый)'!P5%</f>
        <v>388.88578509577894</v>
      </c>
      <c r="P208" s="22">
        <f>M208*N12%*'[1]3.ИПЦ (консервативный)'!P5%</f>
        <v>355.330509839586</v>
      </c>
    </row>
    <row r="209" spans="2:16" ht="37.5">
      <c r="B209" s="85" t="s">
        <v>239</v>
      </c>
      <c r="C209" s="11" t="s">
        <v>118</v>
      </c>
      <c r="D209" s="86">
        <f t="shared" ref="D209:P209" si="50">D207-D208</f>
        <v>2736.2110000000002</v>
      </c>
      <c r="E209" s="86">
        <f t="shared" si="50"/>
        <v>2912.6089999999999</v>
      </c>
      <c r="F209" s="83">
        <f t="shared" si="50"/>
        <v>723.37200000000007</v>
      </c>
      <c r="G209" s="86">
        <f>G207-G208</f>
        <v>2899.7957351491632</v>
      </c>
      <c r="H209" s="86">
        <f t="shared" si="50"/>
        <v>2926.2667973262633</v>
      </c>
      <c r="I209" s="86">
        <f t="shared" si="50"/>
        <v>3063.5758315944227</v>
      </c>
      <c r="J209" s="16">
        <f t="shared" si="50"/>
        <v>3293.9704739761614</v>
      </c>
      <c r="K209" s="16">
        <f t="shared" si="50"/>
        <v>3209.7668447304022</v>
      </c>
      <c r="L209" s="16">
        <f t="shared" si="50"/>
        <v>3298.499837614213</v>
      </c>
      <c r="M209" s="16">
        <f t="shared" si="50"/>
        <v>3502.6923296274867</v>
      </c>
      <c r="N209" s="16">
        <f t="shared" si="50"/>
        <v>3392.0914707136876</v>
      </c>
      <c r="O209" s="16">
        <f t="shared" si="50"/>
        <v>3521.8757924131028</v>
      </c>
      <c r="P209" s="16">
        <f t="shared" si="50"/>
        <v>3790.6075538555042</v>
      </c>
    </row>
    <row r="210" spans="2:16" s="56" customFormat="1" ht="18" customHeight="1">
      <c r="B210" s="9" t="s">
        <v>240</v>
      </c>
      <c r="C210" s="11"/>
      <c r="D210" s="51"/>
      <c r="E210" s="51"/>
      <c r="F210" s="23"/>
      <c r="G210" s="22"/>
      <c r="H210" s="22"/>
      <c r="I210" s="22"/>
      <c r="J210" s="3"/>
      <c r="K210" s="22"/>
      <c r="L210" s="22"/>
      <c r="M210" s="3"/>
      <c r="N210" s="22"/>
      <c r="O210" s="22"/>
      <c r="P210" s="3"/>
    </row>
    <row r="211" spans="2:16" s="56" customFormat="1" ht="18.75">
      <c r="B211" s="44" t="s">
        <v>241</v>
      </c>
      <c r="C211" s="10" t="s">
        <v>242</v>
      </c>
      <c r="D211" s="16">
        <f>D212-73.469</f>
        <v>1.6850000000000023</v>
      </c>
      <c r="E211" s="16">
        <f>E212-D212</f>
        <v>1.7180000000000035</v>
      </c>
      <c r="F211" s="17">
        <f>F212-E212</f>
        <v>1.465999999999994</v>
      </c>
      <c r="G211" s="22">
        <v>1.7</v>
      </c>
      <c r="H211" s="50">
        <f>H212-G212</f>
        <v>1</v>
      </c>
      <c r="I211" s="50">
        <f>I212-G212</f>
        <v>1.5</v>
      </c>
      <c r="J211" s="50">
        <f>J212-G212</f>
        <v>2</v>
      </c>
      <c r="K211" s="50">
        <f>K212-H212</f>
        <v>1</v>
      </c>
      <c r="L211" s="50">
        <f>L212-I212</f>
        <v>1.5</v>
      </c>
      <c r="M211" s="50">
        <f>M212-J212</f>
        <v>2</v>
      </c>
      <c r="N211" s="50">
        <f t="shared" ref="N211:P211" si="51">N212-K212</f>
        <v>1</v>
      </c>
      <c r="O211" s="50">
        <f t="shared" si="51"/>
        <v>1.5</v>
      </c>
      <c r="P211" s="50">
        <f t="shared" si="51"/>
        <v>2</v>
      </c>
    </row>
    <row r="212" spans="2:16" s="84" customFormat="1" ht="18" hidden="1" customHeight="1">
      <c r="B212" s="87" t="s">
        <v>243</v>
      </c>
      <c r="C212" s="82" t="s">
        <v>242</v>
      </c>
      <c r="D212" s="59">
        <v>75.153999999999996</v>
      </c>
      <c r="E212" s="75">
        <v>76.872</v>
      </c>
      <c r="F212" s="27">
        <f>E212+F221+F223</f>
        <v>78.337999999999994</v>
      </c>
      <c r="G212" s="50">
        <f>E212+G211</f>
        <v>78.572000000000003</v>
      </c>
      <c r="H212" s="50">
        <f>I212-0.5</f>
        <v>79.572000000000003</v>
      </c>
      <c r="I212" s="50">
        <f>G212+1.5</f>
        <v>80.072000000000003</v>
      </c>
      <c r="J212" s="50">
        <f>I212+0.5</f>
        <v>80.572000000000003</v>
      </c>
      <c r="K212" s="50">
        <f>L212-1</f>
        <v>80.572000000000003</v>
      </c>
      <c r="L212" s="50">
        <f>I212+1.5</f>
        <v>81.572000000000003</v>
      </c>
      <c r="M212" s="50">
        <f>L212+1</f>
        <v>82.572000000000003</v>
      </c>
      <c r="N212" s="50">
        <f>O212-1.5</f>
        <v>81.572000000000003</v>
      </c>
      <c r="O212" s="50">
        <f>L212+1.5</f>
        <v>83.072000000000003</v>
      </c>
      <c r="P212" s="50">
        <f>O212+1.5</f>
        <v>84.572000000000003</v>
      </c>
    </row>
    <row r="213" spans="2:16" s="56" customFormat="1" ht="18" hidden="1" customHeight="1">
      <c r="B213" s="88" t="s">
        <v>244</v>
      </c>
      <c r="C213" s="10" t="s">
        <v>242</v>
      </c>
      <c r="D213" s="50">
        <v>40.585000000000001</v>
      </c>
      <c r="E213" s="22">
        <f>E212*E215%</f>
        <v>42.817704000000006</v>
      </c>
      <c r="F213" s="27">
        <f>F212*F215%</f>
        <v>43.757326446514114</v>
      </c>
      <c r="G213" s="50">
        <f>G212*[1]Лист4!E53%</f>
        <v>43.888032034970344</v>
      </c>
      <c r="H213" s="50">
        <f>H212*I213/I212</f>
        <v>44.60834676559714</v>
      </c>
      <c r="I213" s="50">
        <f>I212*[1]Лист4!F53%</f>
        <v>44.888648547414853</v>
      </c>
      <c r="J213" s="50">
        <f>J212*I213/I212</f>
        <v>45.168950329232558</v>
      </c>
      <c r="K213" s="50">
        <f>K212*L213/L212</f>
        <v>45.3458386382882</v>
      </c>
      <c r="L213" s="50">
        <f>L212*[1]Лист4!G53%</f>
        <v>45.908637608628865</v>
      </c>
      <c r="M213" s="50">
        <f>M212*L213/L212</f>
        <v>46.471436578969531</v>
      </c>
      <c r="N213" s="50">
        <f>N212*O213/O212</f>
        <v>46.084993088308472</v>
      </c>
      <c r="O213" s="50">
        <f>O212*[1]Лист4!H53%</f>
        <v>46.932434485264082</v>
      </c>
      <c r="P213" s="50">
        <f>P212*O213/O212</f>
        <v>47.779875882219685</v>
      </c>
    </row>
    <row r="214" spans="2:16" s="56" customFormat="1" ht="18" hidden="1" customHeight="1">
      <c r="B214" s="89" t="s">
        <v>245</v>
      </c>
      <c r="C214" s="10" t="s">
        <v>242</v>
      </c>
      <c r="D214" s="50">
        <v>18.838000000000001</v>
      </c>
      <c r="E214" s="22">
        <f>E212*E216%</f>
        <v>19.756104000000001</v>
      </c>
      <c r="F214" s="27">
        <f>F212*F216%</f>
        <v>19.903022999687128</v>
      </c>
      <c r="G214" s="50">
        <f>G212*[1]Лист4!E54%</f>
        <v>19.962474445753241</v>
      </c>
      <c r="H214" s="50">
        <f>H213*I214/I213-(H213*I214/I213*H220/1000)</f>
        <v>19.197524816642915</v>
      </c>
      <c r="I214" s="50">
        <f>I212*[1]Лист4!F54%</f>
        <v>20.118197816690955</v>
      </c>
      <c r="J214" s="50">
        <f>J213*I214/I213-(J213*I214/I213*J220/1000)</f>
        <v>20.034809134651191</v>
      </c>
      <c r="K214" s="50">
        <f>K213*L214/L213-(K213*L214/L213*K220/1000)</f>
        <v>19.250493897870331</v>
      </c>
      <c r="L214" s="50">
        <f>L212*[1]Лист4!G54%</f>
        <v>20.276213426318225</v>
      </c>
      <c r="M214" s="50">
        <f>M213*L214/L213-(M213*L214/L213*M220/1000)</f>
        <v>20.116675838307277</v>
      </c>
      <c r="N214" s="50">
        <f>N213*O214/O213-(N213*O214/O213*N220/1000)</f>
        <v>19.311153855750522</v>
      </c>
      <c r="O214" s="50">
        <f>O212*[1]Лист4!H54%</f>
        <v>20.440681328611127</v>
      </c>
      <c r="P214" s="50">
        <f>P213*O214/O213-(P213*O214/O213*P220/1000)</f>
        <v>20.401071046406379</v>
      </c>
    </row>
    <row r="215" spans="2:16" s="84" customFormat="1" ht="34.9" hidden="1" customHeight="1">
      <c r="B215" s="90" t="s">
        <v>246</v>
      </c>
      <c r="C215" s="82" t="s">
        <v>192</v>
      </c>
      <c r="D215" s="17">
        <f>D213*100/D212</f>
        <v>54.002448306144721</v>
      </c>
      <c r="E215" s="17">
        <v>55.7</v>
      </c>
      <c r="F215" s="27">
        <f>G215</f>
        <v>55.857089083859833</v>
      </c>
      <c r="G215" s="16">
        <f>G213*100/G212</f>
        <v>55.857089083859833</v>
      </c>
      <c r="H215" s="16">
        <f t="shared" ref="H215:P215" si="52">H213*100/H212</f>
        <v>56.060356363541374</v>
      </c>
      <c r="I215" s="16">
        <f t="shared" si="52"/>
        <v>56.060356363541374</v>
      </c>
      <c r="J215" s="16">
        <f t="shared" si="52"/>
        <v>56.060356363541374</v>
      </c>
      <c r="K215" s="16">
        <f t="shared" si="52"/>
        <v>56.279897034066664</v>
      </c>
      <c r="L215" s="16">
        <f t="shared" si="52"/>
        <v>56.279897034066671</v>
      </c>
      <c r="M215" s="16">
        <f t="shared" si="52"/>
        <v>56.279897034066671</v>
      </c>
      <c r="N215" s="16">
        <f t="shared" si="52"/>
        <v>56.496093130373744</v>
      </c>
      <c r="O215" s="16">
        <f t="shared" si="52"/>
        <v>56.496093130373751</v>
      </c>
      <c r="P215" s="16">
        <f t="shared" si="52"/>
        <v>56.496093130373744</v>
      </c>
    </row>
    <row r="216" spans="2:16" s="84" customFormat="1" ht="34.9" hidden="1" customHeight="1">
      <c r="B216" s="90" t="s">
        <v>247</v>
      </c>
      <c r="C216" s="82" t="s">
        <v>192</v>
      </c>
      <c r="D216" s="17">
        <f>D214*100/D212</f>
        <v>25.065864757697533</v>
      </c>
      <c r="E216" s="17">
        <v>25.7</v>
      </c>
      <c r="F216" s="27">
        <f>G216</f>
        <v>25.406600882952247</v>
      </c>
      <c r="G216" s="16">
        <f>G214*100/G212</f>
        <v>25.406600882952247</v>
      </c>
      <c r="H216" s="16">
        <f t="shared" ref="H216:P216" si="53">H214*100/H212</f>
        <v>24.125980013877889</v>
      </c>
      <c r="I216" s="16">
        <f t="shared" si="53"/>
        <v>25.125134649678984</v>
      </c>
      <c r="J216" s="16">
        <f t="shared" si="53"/>
        <v>24.865721509520913</v>
      </c>
      <c r="K216" s="16">
        <f t="shared" si="53"/>
        <v>23.892287516594262</v>
      </c>
      <c r="L216" s="16">
        <f t="shared" si="53"/>
        <v>24.856830071983307</v>
      </c>
      <c r="M216" s="16">
        <f t="shared" si="53"/>
        <v>24.362587606340256</v>
      </c>
      <c r="N216" s="16">
        <f t="shared" si="53"/>
        <v>23.673753071826756</v>
      </c>
      <c r="O216" s="16">
        <f t="shared" si="53"/>
        <v>24.60598195374028</v>
      </c>
      <c r="P216" s="16">
        <f t="shared" si="53"/>
        <v>24.122725070243554</v>
      </c>
    </row>
    <row r="217" spans="2:16" s="84" customFormat="1" ht="18" hidden="1" customHeight="1">
      <c r="B217" s="90" t="s">
        <v>248</v>
      </c>
      <c r="C217" s="82" t="s">
        <v>242</v>
      </c>
      <c r="D217" s="59">
        <v>1.0549999999999999</v>
      </c>
      <c r="E217" s="75">
        <v>1.03</v>
      </c>
      <c r="F217" s="27">
        <v>0.51100000000000001</v>
      </c>
      <c r="G217" s="50">
        <v>0.9</v>
      </c>
      <c r="H217" s="50">
        <f t="shared" ref="H217:P217" si="54">$G$217*H221/$G$221</f>
        <v>0.44117647058823528</v>
      </c>
      <c r="I217" s="50">
        <f t="shared" si="54"/>
        <v>1.2904411764705883</v>
      </c>
      <c r="J217" s="50">
        <f t="shared" si="54"/>
        <v>1.7205882352941175</v>
      </c>
      <c r="K217" s="50">
        <f t="shared" si="54"/>
        <v>0.86029411764705876</v>
      </c>
      <c r="L217" s="50">
        <f t="shared" si="54"/>
        <v>1.2904411764705883</v>
      </c>
      <c r="M217" s="50">
        <f t="shared" si="54"/>
        <v>1.7205882352941175</v>
      </c>
      <c r="N217" s="50">
        <f t="shared" si="54"/>
        <v>0.86029411764705876</v>
      </c>
      <c r="O217" s="50">
        <f t="shared" si="54"/>
        <v>1.2904411764705883</v>
      </c>
      <c r="P217" s="50">
        <f t="shared" si="54"/>
        <v>1.7205882352941175</v>
      </c>
    </row>
    <row r="218" spans="2:16" s="56" customFormat="1" ht="56.25">
      <c r="B218" s="44" t="s">
        <v>249</v>
      </c>
      <c r="C218" s="10" t="s">
        <v>250</v>
      </c>
      <c r="D218" s="16">
        <f t="shared" ref="D218:P218" si="55">D217*1000/D212</f>
        <v>14.037842297149853</v>
      </c>
      <c r="E218" s="16">
        <f t="shared" si="55"/>
        <v>13.398896867520033</v>
      </c>
      <c r="F218" s="17">
        <f>F217*1000/F212</f>
        <v>6.523015650131482</v>
      </c>
      <c r="G218" s="16">
        <f>G217*1000/G212</f>
        <v>11.454462149366186</v>
      </c>
      <c r="H218" s="16">
        <f>H217*1000/H212</f>
        <v>5.5443682525038369</v>
      </c>
      <c r="I218" s="16">
        <f t="shared" si="55"/>
        <v>16.1160102966154</v>
      </c>
      <c r="J218" s="16">
        <f t="shared" si="55"/>
        <v>21.354667071614426</v>
      </c>
      <c r="K218" s="16">
        <f t="shared" si="55"/>
        <v>10.677333535807213</v>
      </c>
      <c r="L218" s="16">
        <f t="shared" si="55"/>
        <v>15.819658417969258</v>
      </c>
      <c r="M218" s="16">
        <f t="shared" si="55"/>
        <v>20.837429580173879</v>
      </c>
      <c r="N218" s="16">
        <f t="shared" si="55"/>
        <v>10.546438945312838</v>
      </c>
      <c r="O218" s="16">
        <f t="shared" si="55"/>
        <v>15.534008769147105</v>
      </c>
      <c r="P218" s="16">
        <f t="shared" si="55"/>
        <v>20.344655858843559</v>
      </c>
    </row>
    <row r="219" spans="2:16" s="84" customFormat="1" ht="18" hidden="1" customHeight="1">
      <c r="B219" s="90" t="s">
        <v>251</v>
      </c>
      <c r="C219" s="82" t="s">
        <v>242</v>
      </c>
      <c r="D219" s="59">
        <v>0.89200000000000002</v>
      </c>
      <c r="E219" s="75">
        <v>0.88900000000000001</v>
      </c>
      <c r="F219" s="27">
        <v>0.41899999999999998</v>
      </c>
      <c r="G219" s="50">
        <f>F219*4</f>
        <v>1.6759999999999999</v>
      </c>
      <c r="H219" s="50">
        <f>$G$219*J221/$G$221</f>
        <v>3.2041176470588231</v>
      </c>
      <c r="I219" s="50">
        <f>$G$219*I221/$G$221</f>
        <v>2.4030882352941179</v>
      </c>
      <c r="J219" s="50">
        <f>$G$219*H221/$G$221</f>
        <v>0.82156862745098025</v>
      </c>
      <c r="K219" s="50">
        <f>$G$219*M221/$G$221</f>
        <v>3.2041176470588231</v>
      </c>
      <c r="L219" s="50">
        <f>$G$219*L221/$G$221</f>
        <v>2.4030882352941179</v>
      </c>
      <c r="M219" s="50">
        <f>$G$219*K221/$G$221</f>
        <v>1.6020588235294115</v>
      </c>
      <c r="N219" s="50">
        <f>$G$219*P221/$G$221</f>
        <v>3.2041176470588231</v>
      </c>
      <c r="O219" s="50">
        <f>$G$219*O221/$G$221</f>
        <v>2.4030882352941179</v>
      </c>
      <c r="P219" s="50">
        <f>$G$219*N221/$G$221</f>
        <v>1.6020588235294115</v>
      </c>
    </row>
    <row r="220" spans="2:16" s="56" customFormat="1" ht="56.25">
      <c r="B220" s="44" t="s">
        <v>252</v>
      </c>
      <c r="C220" s="10" t="s">
        <v>253</v>
      </c>
      <c r="D220" s="16">
        <f>D219*1000/D212</f>
        <v>11.86896239721106</v>
      </c>
      <c r="E220" s="16">
        <f>E219*1000/E212</f>
        <v>11.564678946820688</v>
      </c>
      <c r="F220" s="17">
        <f>F219*1000/F212</f>
        <v>5.3486175291684752</v>
      </c>
      <c r="G220" s="16">
        <f>G219*1000/G212</f>
        <v>21.330753958153032</v>
      </c>
      <c r="H220" s="16">
        <f>H219*1000/J212</f>
        <v>39.767135568917524</v>
      </c>
      <c r="I220" s="16">
        <f>I219*1000/I212</f>
        <v>30.011592507919346</v>
      </c>
      <c r="J220" s="16">
        <f>J219*1000/H212</f>
        <v>10.324845767996031</v>
      </c>
      <c r="K220" s="16">
        <f>K219*1000/M212</f>
        <v>38.803924418190462</v>
      </c>
      <c r="L220" s="16">
        <f>L219*1000/L212</f>
        <v>29.459719453907198</v>
      </c>
      <c r="M220" s="16">
        <f>M219*1000/K212</f>
        <v>19.883567784458762</v>
      </c>
      <c r="N220" s="16">
        <f>N219*1000/P212</f>
        <v>37.886270243802002</v>
      </c>
      <c r="O220" s="16">
        <f>O219*1000/O212</f>
        <v>28.92777633010061</v>
      </c>
      <c r="P220" s="16">
        <f>P219*1000/N212</f>
        <v>19.63981296927146</v>
      </c>
    </row>
    <row r="221" spans="2:16" s="84" customFormat="1" ht="18" hidden="1" customHeight="1">
      <c r="B221" s="90" t="s">
        <v>254</v>
      </c>
      <c r="C221" s="82" t="s">
        <v>242</v>
      </c>
      <c r="D221" s="59">
        <v>0.16300000000000001</v>
      </c>
      <c r="E221" s="75">
        <v>0.14000000000000001</v>
      </c>
      <c r="F221" s="27">
        <v>9.1999999999999998E-2</v>
      </c>
      <c r="G221" s="50">
        <f>G211-G223</f>
        <v>0.20399999999999996</v>
      </c>
      <c r="H221" s="50">
        <f>H211-H223</f>
        <v>9.9999999999999978E-2</v>
      </c>
      <c r="I221" s="50">
        <f t="shared" ref="I221:P221" si="56">I211-I223</f>
        <v>0.29249999999999998</v>
      </c>
      <c r="J221" s="50">
        <f t="shared" si="56"/>
        <v>0.3899999999999999</v>
      </c>
      <c r="K221" s="50">
        <f t="shared" si="56"/>
        <v>0.19499999999999995</v>
      </c>
      <c r="L221" s="50">
        <f t="shared" si="56"/>
        <v>0.29249999999999998</v>
      </c>
      <c r="M221" s="50">
        <f t="shared" si="56"/>
        <v>0.3899999999999999</v>
      </c>
      <c r="N221" s="50">
        <f t="shared" si="56"/>
        <v>0.19499999999999995</v>
      </c>
      <c r="O221" s="50">
        <f t="shared" si="56"/>
        <v>0.29249999999999998</v>
      </c>
      <c r="P221" s="50">
        <f t="shared" si="56"/>
        <v>0.3899999999999999</v>
      </c>
    </row>
    <row r="222" spans="2:16" s="56" customFormat="1" ht="37.5">
      <c r="B222" s="44" t="s">
        <v>255</v>
      </c>
      <c r="C222" s="10" t="s">
        <v>256</v>
      </c>
      <c r="D222" s="16">
        <f t="shared" ref="D222:P222" si="57">D221*1000/D212</f>
        <v>2.1688798999387924</v>
      </c>
      <c r="E222" s="16">
        <f t="shared" si="57"/>
        <v>1.821209282963888</v>
      </c>
      <c r="F222" s="17">
        <f>F221*1000/F212</f>
        <v>1.1743981209630066</v>
      </c>
      <c r="G222" s="16">
        <f>G221*1000/G212</f>
        <v>2.5963447538563353</v>
      </c>
      <c r="H222" s="16">
        <f t="shared" si="57"/>
        <v>1.2567234705675359</v>
      </c>
      <c r="I222" s="16">
        <f t="shared" si="57"/>
        <v>3.6529623338994903</v>
      </c>
      <c r="J222" s="16">
        <f t="shared" si="57"/>
        <v>4.8403912028992684</v>
      </c>
      <c r="K222" s="16">
        <f t="shared" si="57"/>
        <v>2.4201956014496342</v>
      </c>
      <c r="L222" s="16">
        <f t="shared" si="57"/>
        <v>3.5857892414063648</v>
      </c>
      <c r="M222" s="16">
        <f t="shared" si="57"/>
        <v>4.7231507048394112</v>
      </c>
      <c r="N222" s="16">
        <f t="shared" si="57"/>
        <v>2.3905261609375756</v>
      </c>
      <c r="O222" s="16">
        <f t="shared" si="57"/>
        <v>3.5210419876733434</v>
      </c>
      <c r="P222" s="16">
        <f t="shared" si="57"/>
        <v>4.6114553280045394</v>
      </c>
    </row>
    <row r="223" spans="2:16" s="56" customFormat="1" ht="41.25" customHeight="1">
      <c r="B223" s="44" t="s">
        <v>257</v>
      </c>
      <c r="C223" s="10" t="s">
        <v>258</v>
      </c>
      <c r="D223" s="21">
        <v>1.522</v>
      </c>
      <c r="E223" s="22">
        <v>1.577</v>
      </c>
      <c r="F223" s="27">
        <v>1.3740000000000001</v>
      </c>
      <c r="G223" s="50">
        <f>G211*88%</f>
        <v>1.496</v>
      </c>
      <c r="H223" s="50">
        <v>0.9</v>
      </c>
      <c r="I223" s="50">
        <f>I211*80.5%</f>
        <v>1.2075</v>
      </c>
      <c r="J223" s="50">
        <f t="shared" ref="J223:P223" si="58">J211*80.5%</f>
        <v>1.61</v>
      </c>
      <c r="K223" s="50">
        <f t="shared" si="58"/>
        <v>0.80500000000000005</v>
      </c>
      <c r="L223" s="50">
        <f t="shared" si="58"/>
        <v>1.2075</v>
      </c>
      <c r="M223" s="50">
        <f t="shared" si="58"/>
        <v>1.61</v>
      </c>
      <c r="N223" s="50">
        <f t="shared" si="58"/>
        <v>0.80500000000000005</v>
      </c>
      <c r="O223" s="50">
        <f t="shared" si="58"/>
        <v>1.2075</v>
      </c>
      <c r="P223" s="50">
        <f t="shared" si="58"/>
        <v>1.61</v>
      </c>
    </row>
    <row r="224" spans="2:16" s="56" customFormat="1" ht="18" customHeight="1">
      <c r="B224" s="20" t="s">
        <v>259</v>
      </c>
      <c r="C224" s="10"/>
      <c r="D224" s="16"/>
      <c r="E224" s="22"/>
      <c r="F224" s="23"/>
      <c r="G224" s="22"/>
      <c r="H224" s="22"/>
      <c r="I224" s="22"/>
      <c r="J224" s="22"/>
      <c r="K224" s="22"/>
      <c r="L224" s="22"/>
      <c r="M224" s="22"/>
      <c r="N224" s="22"/>
      <c r="O224" s="22"/>
      <c r="P224" s="22"/>
    </row>
    <row r="225" spans="2:16" s="56" customFormat="1" ht="36" customHeight="1">
      <c r="B225" s="80" t="s">
        <v>260</v>
      </c>
      <c r="C225" s="10" t="s">
        <v>261</v>
      </c>
      <c r="D225" s="50">
        <v>31247.7</v>
      </c>
      <c r="E225" s="22">
        <v>34251.800000000003</v>
      </c>
      <c r="F225" s="27">
        <v>36310</v>
      </c>
      <c r="G225" s="22">
        <v>36991</v>
      </c>
      <c r="H225" s="22">
        <f>G225*H226/100</f>
        <v>38285.684999999998</v>
      </c>
      <c r="I225" s="22">
        <f>G225*I226/100</f>
        <v>38618.604000000007</v>
      </c>
      <c r="J225" s="22">
        <f t="shared" ref="J225:P225" si="59">G225*J226/100</f>
        <v>38857.444081826834</v>
      </c>
      <c r="K225" s="22">
        <f t="shared" si="59"/>
        <v>39877.125843909344</v>
      </c>
      <c r="L225" s="22">
        <f t="shared" si="59"/>
        <v>40472.296992000003</v>
      </c>
      <c r="M225" s="22">
        <f t="shared" si="59"/>
        <v>40953.324351849442</v>
      </c>
      <c r="N225" s="22">
        <f t="shared" si="59"/>
        <v>41613.983662181592</v>
      </c>
      <c r="O225" s="22">
        <f t="shared" si="59"/>
        <v>42495.911841600006</v>
      </c>
      <c r="P225" s="22">
        <f t="shared" si="59"/>
        <v>43244.622244056314</v>
      </c>
    </row>
    <row r="226" spans="2:16" s="56" customFormat="1" ht="37.5">
      <c r="B226" s="80" t="s">
        <v>262</v>
      </c>
      <c r="C226" s="91" t="s">
        <v>263</v>
      </c>
      <c r="D226" s="16">
        <v>105.14526256283943</v>
      </c>
      <c r="E226" s="22">
        <f>E225*100/D225</f>
        <v>109.61382757770973</v>
      </c>
      <c r="F226" s="27">
        <f>F225/E225*100</f>
        <v>106.00902726280077</v>
      </c>
      <c r="G226" s="22">
        <f>G225*100/E225</f>
        <v>107.99724394046443</v>
      </c>
      <c r="H226" s="22">
        <v>103.5</v>
      </c>
      <c r="I226" s="22">
        <v>104.4</v>
      </c>
      <c r="J226" s="22">
        <f>I226*J230/I230</f>
        <v>105.04567078972408</v>
      </c>
      <c r="K226" s="22">
        <f>L226*K230/L230</f>
        <v>104.15675165250235</v>
      </c>
      <c r="L226" s="22">
        <v>104.8</v>
      </c>
      <c r="M226" s="22">
        <f>L226*M230/L230</f>
        <v>105.39376770538242</v>
      </c>
      <c r="N226" s="22">
        <f>O226*N230/O230</f>
        <v>104.35552407932011</v>
      </c>
      <c r="O226" s="22">
        <v>105</v>
      </c>
      <c r="P226" s="22">
        <f>O226*P230/O230</f>
        <v>105.59490084985835</v>
      </c>
    </row>
    <row r="227" spans="2:16" s="56" customFormat="1" ht="46.9" customHeight="1">
      <c r="B227" s="80" t="s">
        <v>264</v>
      </c>
      <c r="C227" s="91" t="s">
        <v>192</v>
      </c>
      <c r="D227" s="92">
        <v>1</v>
      </c>
      <c r="E227" s="92">
        <v>0.9</v>
      </c>
      <c r="F227" s="93">
        <v>0.9</v>
      </c>
      <c r="G227" s="92">
        <v>0.9</v>
      </c>
      <c r="H227" s="92">
        <v>1.1000000000000001</v>
      </c>
      <c r="I227" s="92">
        <v>1</v>
      </c>
      <c r="J227" s="92">
        <v>0.9</v>
      </c>
      <c r="K227" s="92">
        <v>1</v>
      </c>
      <c r="L227" s="92">
        <v>0.9</v>
      </c>
      <c r="M227" s="92">
        <v>0.9</v>
      </c>
      <c r="N227" s="92">
        <v>1</v>
      </c>
      <c r="O227" s="92">
        <v>0.9</v>
      </c>
      <c r="P227" s="92">
        <v>0.9</v>
      </c>
    </row>
    <row r="228" spans="2:16" s="56" customFormat="1" ht="56.25">
      <c r="B228" s="80" t="s">
        <v>265</v>
      </c>
      <c r="C228" s="10" t="s">
        <v>233</v>
      </c>
      <c r="D228" s="92">
        <v>0.41099999999999998</v>
      </c>
      <c r="E228" s="92">
        <v>0.36399999999999999</v>
      </c>
      <c r="F228" s="93">
        <v>0.503</v>
      </c>
      <c r="G228" s="92">
        <v>0.53</v>
      </c>
      <c r="H228" s="92">
        <v>0.51</v>
      </c>
      <c r="I228" s="92">
        <v>0.434</v>
      </c>
      <c r="J228" s="92">
        <v>0.42099999999999999</v>
      </c>
      <c r="K228" s="92">
        <v>0.441</v>
      </c>
      <c r="L228" s="92">
        <v>0.436</v>
      </c>
      <c r="M228" s="92">
        <v>0.41299999999999998</v>
      </c>
      <c r="N228" s="92">
        <v>0.43</v>
      </c>
      <c r="O228" s="92">
        <v>0.42699999999999999</v>
      </c>
      <c r="P228" s="92">
        <v>0.40500000000000003</v>
      </c>
    </row>
    <row r="229" spans="2:16" s="56" customFormat="1" ht="62.45" customHeight="1">
      <c r="B229" s="94" t="s">
        <v>266</v>
      </c>
      <c r="C229" s="10" t="s">
        <v>123</v>
      </c>
      <c r="D229" s="92">
        <v>5048.2456000000002</v>
      </c>
      <c r="E229" s="92">
        <v>5599.9</v>
      </c>
      <c r="F229" s="93">
        <v>2770.5</v>
      </c>
      <c r="G229" s="92">
        <v>6000</v>
      </c>
      <c r="H229" s="92">
        <v>6231.3365919999987</v>
      </c>
      <c r="I229" s="92">
        <v>6270.1146559999997</v>
      </c>
      <c r="J229" s="92">
        <v>6308.8927199999998</v>
      </c>
      <c r="K229" s="92">
        <v>6558.4817630799989</v>
      </c>
      <c r="L229" s="92">
        <v>6640.0514207040005</v>
      </c>
      <c r="M229" s="92">
        <v>6718.9707467999997</v>
      </c>
      <c r="N229" s="92">
        <v>6902.8020556416996</v>
      </c>
      <c r="O229" s="92">
        <v>7031.8144545255373</v>
      </c>
      <c r="P229" s="92">
        <v>7155.7038453419991</v>
      </c>
    </row>
    <row r="230" spans="2:16" s="56" customFormat="1" ht="18.75">
      <c r="B230" s="94" t="s">
        <v>267</v>
      </c>
      <c r="C230" s="10" t="s">
        <v>263</v>
      </c>
      <c r="D230" s="92">
        <v>105.8</v>
      </c>
      <c r="E230" s="92">
        <f>E229*100/D229</f>
        <v>110.92764583402995</v>
      </c>
      <c r="F230" s="93">
        <f>(F229/6*12.5)/E229*100</f>
        <v>103.07103698280326</v>
      </c>
      <c r="G230" s="92">
        <f>G229*100/E229</f>
        <v>107.14477044232933</v>
      </c>
      <c r="H230" s="92">
        <f>I230-0.65</f>
        <v>104.44999999999999</v>
      </c>
      <c r="I230" s="92">
        <v>105.1</v>
      </c>
      <c r="J230" s="92">
        <f>I230+0.65</f>
        <v>105.75</v>
      </c>
      <c r="K230" s="92">
        <f>L230-0.65</f>
        <v>105.25</v>
      </c>
      <c r="L230" s="92">
        <v>105.9</v>
      </c>
      <c r="M230" s="92">
        <f>L230+0.6</f>
        <v>106.5</v>
      </c>
      <c r="N230" s="92">
        <f>O230-0.65</f>
        <v>105.25</v>
      </c>
      <c r="O230" s="92">
        <v>105.9</v>
      </c>
      <c r="P230" s="92">
        <f>O230+0.6</f>
        <v>106.5</v>
      </c>
    </row>
    <row r="231" spans="2:16" s="56" customFormat="1" ht="18.75">
      <c r="B231" s="95" t="s">
        <v>268</v>
      </c>
      <c r="C231" s="10"/>
      <c r="D231" s="96"/>
      <c r="E231" s="96"/>
      <c r="F231" s="97"/>
      <c r="G231" s="96"/>
      <c r="H231" s="96"/>
      <c r="I231" s="96"/>
      <c r="J231" s="96"/>
      <c r="K231" s="96"/>
      <c r="L231" s="96"/>
      <c r="M231" s="96"/>
      <c r="N231" s="96"/>
      <c r="O231" s="96"/>
      <c r="P231" s="96"/>
    </row>
    <row r="232" spans="2:16" s="56" customFormat="1" ht="18.75">
      <c r="B232" s="98" t="s">
        <v>269</v>
      </c>
      <c r="C232" s="99"/>
      <c r="D232" s="96"/>
      <c r="E232" s="96"/>
      <c r="F232" s="97"/>
      <c r="G232" s="96"/>
      <c r="H232" s="96"/>
      <c r="I232" s="96"/>
      <c r="J232" s="96"/>
      <c r="K232" s="96"/>
      <c r="L232" s="96"/>
      <c r="M232" s="96"/>
      <c r="N232" s="96"/>
      <c r="O232" s="96"/>
      <c r="P232" s="96"/>
    </row>
    <row r="233" spans="2:16" s="56" customFormat="1" ht="37.5">
      <c r="B233" s="100" t="s">
        <v>270</v>
      </c>
      <c r="C233" s="99" t="s">
        <v>192</v>
      </c>
      <c r="D233" s="101">
        <v>90</v>
      </c>
      <c r="E233" s="101">
        <v>77</v>
      </c>
      <c r="F233" s="102">
        <v>80</v>
      </c>
      <c r="G233" s="101">
        <v>80</v>
      </c>
      <c r="H233" s="101">
        <v>85</v>
      </c>
      <c r="I233" s="101">
        <f>H233</f>
        <v>85</v>
      </c>
      <c r="J233" s="101">
        <f>H233</f>
        <v>85</v>
      </c>
      <c r="K233" s="101">
        <v>90</v>
      </c>
      <c r="L233" s="101">
        <f>K233</f>
        <v>90</v>
      </c>
      <c r="M233" s="101">
        <f>K233</f>
        <v>90</v>
      </c>
      <c r="N233" s="101">
        <f>K233</f>
        <v>90</v>
      </c>
      <c r="O233" s="101">
        <f>N233</f>
        <v>90</v>
      </c>
      <c r="P233" s="101">
        <f>N233</f>
        <v>90</v>
      </c>
    </row>
    <row r="234" spans="2:16" s="56" customFormat="1" ht="18" customHeight="1">
      <c r="B234" s="100" t="s">
        <v>271</v>
      </c>
      <c r="C234" s="99" t="s">
        <v>272</v>
      </c>
      <c r="D234" s="101">
        <v>1.8</v>
      </c>
      <c r="E234" s="101">
        <v>1.8</v>
      </c>
      <c r="F234" s="103">
        <v>1.8</v>
      </c>
      <c r="G234" s="101">
        <v>1.8</v>
      </c>
      <c r="H234" s="101">
        <v>1.8</v>
      </c>
      <c r="I234" s="101">
        <v>1.8</v>
      </c>
      <c r="J234" s="101">
        <v>1.8</v>
      </c>
      <c r="K234" s="101">
        <v>1.8</v>
      </c>
      <c r="L234" s="101">
        <v>1.8</v>
      </c>
      <c r="M234" s="101">
        <v>1.8</v>
      </c>
      <c r="N234" s="101">
        <v>1.8</v>
      </c>
      <c r="O234" s="101">
        <v>1.8</v>
      </c>
      <c r="P234" s="101">
        <v>1.8</v>
      </c>
    </row>
    <row r="235" spans="2:16" s="56" customFormat="1" ht="37.5">
      <c r="B235" s="100" t="s">
        <v>273</v>
      </c>
      <c r="C235" s="99" t="s">
        <v>272</v>
      </c>
      <c r="D235" s="101">
        <v>2.7</v>
      </c>
      <c r="E235" s="101">
        <v>2.7</v>
      </c>
      <c r="F235" s="103">
        <v>2.7</v>
      </c>
      <c r="G235" s="101">
        <v>2.7</v>
      </c>
      <c r="H235" s="101">
        <v>2.7</v>
      </c>
      <c r="I235" s="101">
        <v>2.7</v>
      </c>
      <c r="J235" s="101">
        <v>2.7</v>
      </c>
      <c r="K235" s="101">
        <v>2.7</v>
      </c>
      <c r="L235" s="101">
        <v>2.7</v>
      </c>
      <c r="M235" s="101">
        <v>2.7</v>
      </c>
      <c r="N235" s="101">
        <v>2.7</v>
      </c>
      <c r="O235" s="101">
        <v>2.7</v>
      </c>
      <c r="P235" s="101">
        <v>2.7</v>
      </c>
    </row>
    <row r="236" spans="2:16" s="56" customFormat="1" ht="37.5">
      <c r="B236" s="100" t="s">
        <v>274</v>
      </c>
      <c r="C236" s="99" t="s">
        <v>272</v>
      </c>
      <c r="D236" s="101">
        <v>0.7</v>
      </c>
      <c r="E236" s="101">
        <v>0.7</v>
      </c>
      <c r="F236" s="103">
        <v>0.7</v>
      </c>
      <c r="G236" s="101">
        <v>0.7</v>
      </c>
      <c r="H236" s="101">
        <v>0.7</v>
      </c>
      <c r="I236" s="101">
        <v>0.7</v>
      </c>
      <c r="J236" s="101">
        <v>0.7</v>
      </c>
      <c r="K236" s="101">
        <v>0.7</v>
      </c>
      <c r="L236" s="101">
        <v>0.7</v>
      </c>
      <c r="M236" s="101">
        <v>0.7</v>
      </c>
      <c r="N236" s="101">
        <v>0.7</v>
      </c>
      <c r="O236" s="101">
        <v>0.7</v>
      </c>
      <c r="P236" s="101">
        <v>0.7</v>
      </c>
    </row>
    <row r="237" spans="2:16" s="60" customFormat="1" ht="36" hidden="1" customHeight="1">
      <c r="B237" s="104" t="s">
        <v>275</v>
      </c>
      <c r="C237" s="105" t="s">
        <v>276</v>
      </c>
      <c r="D237" s="106"/>
      <c r="E237" s="106"/>
      <c r="F237" s="103"/>
      <c r="G237" s="107"/>
      <c r="H237" s="106"/>
      <c r="I237" s="106"/>
      <c r="J237" s="106"/>
      <c r="K237" s="106"/>
      <c r="L237" s="106"/>
      <c r="M237" s="106"/>
      <c r="N237" s="106"/>
      <c r="O237" s="106"/>
      <c r="P237" s="106"/>
    </row>
    <row r="238" spans="2:16" s="56" customFormat="1" ht="37.5">
      <c r="B238" s="100" t="s">
        <v>277</v>
      </c>
      <c r="C238" s="99" t="s">
        <v>278</v>
      </c>
      <c r="D238" s="101">
        <v>2.1</v>
      </c>
      <c r="E238" s="101">
        <v>2.1</v>
      </c>
      <c r="F238" s="103">
        <v>2.1</v>
      </c>
      <c r="G238" s="101">
        <v>2.1</v>
      </c>
      <c r="H238" s="101">
        <v>2.1</v>
      </c>
      <c r="I238" s="101">
        <v>2.1</v>
      </c>
      <c r="J238" s="101">
        <v>2.1</v>
      </c>
      <c r="K238" s="101">
        <v>2.1</v>
      </c>
      <c r="L238" s="101">
        <v>2.1</v>
      </c>
      <c r="M238" s="101">
        <v>2.1</v>
      </c>
      <c r="N238" s="101">
        <v>2.1</v>
      </c>
      <c r="O238" s="101">
        <v>2.1</v>
      </c>
      <c r="P238" s="101">
        <v>2.1</v>
      </c>
    </row>
    <row r="239" spans="2:16" s="56" customFormat="1" ht="37.5">
      <c r="B239" s="100" t="s">
        <v>279</v>
      </c>
      <c r="C239" s="99" t="s">
        <v>278</v>
      </c>
      <c r="D239" s="101">
        <v>9.6</v>
      </c>
      <c r="E239" s="101">
        <v>9.6</v>
      </c>
      <c r="F239" s="103">
        <v>9.6</v>
      </c>
      <c r="G239" s="101">
        <v>9.6</v>
      </c>
      <c r="H239" s="101">
        <v>9.6</v>
      </c>
      <c r="I239" s="101">
        <v>9.6</v>
      </c>
      <c r="J239" s="101">
        <v>9.6</v>
      </c>
      <c r="K239" s="101">
        <v>9.6</v>
      </c>
      <c r="L239" s="101">
        <v>9.6</v>
      </c>
      <c r="M239" s="101">
        <v>9.6</v>
      </c>
      <c r="N239" s="101">
        <v>9.6</v>
      </c>
      <c r="O239" s="101">
        <v>9.6</v>
      </c>
      <c r="P239" s="101">
        <v>9.6</v>
      </c>
    </row>
    <row r="240" spans="2:16" s="56" customFormat="1" ht="37.5">
      <c r="B240" s="100" t="s">
        <v>280</v>
      </c>
      <c r="C240" s="99" t="s">
        <v>281</v>
      </c>
      <c r="D240" s="101">
        <v>20.399999999999999</v>
      </c>
      <c r="E240" s="101">
        <v>20.399999999999999</v>
      </c>
      <c r="F240" s="103">
        <v>20.399999999999999</v>
      </c>
      <c r="G240" s="101">
        <v>20.399999999999999</v>
      </c>
      <c r="H240" s="101">
        <v>20.399999999999999</v>
      </c>
      <c r="I240" s="101">
        <v>20.399999999999999</v>
      </c>
      <c r="J240" s="101">
        <v>20.399999999999999</v>
      </c>
      <c r="K240" s="101">
        <v>20.399999999999999</v>
      </c>
      <c r="L240" s="101">
        <v>20.399999999999999</v>
      </c>
      <c r="M240" s="101">
        <v>20.399999999999999</v>
      </c>
      <c r="N240" s="101">
        <v>20.399999999999999</v>
      </c>
      <c r="O240" s="101">
        <v>20.399999999999999</v>
      </c>
      <c r="P240" s="101">
        <v>20.399999999999999</v>
      </c>
    </row>
    <row r="241" spans="2:16" s="56" customFormat="1" ht="18.75">
      <c r="B241" s="100" t="s">
        <v>282</v>
      </c>
      <c r="C241" s="99" t="s">
        <v>231</v>
      </c>
      <c r="D241" s="101">
        <v>10</v>
      </c>
      <c r="E241" s="101">
        <v>10</v>
      </c>
      <c r="F241" s="108">
        <v>39</v>
      </c>
      <c r="G241" s="101">
        <v>39</v>
      </c>
      <c r="H241" s="101">
        <v>39</v>
      </c>
      <c r="I241" s="101">
        <v>39</v>
      </c>
      <c r="J241" s="101">
        <v>39</v>
      </c>
      <c r="K241" s="101">
        <v>39</v>
      </c>
      <c r="L241" s="101">
        <v>39</v>
      </c>
      <c r="M241" s="101">
        <v>39</v>
      </c>
      <c r="N241" s="101">
        <v>39</v>
      </c>
      <c r="O241" s="101">
        <v>39</v>
      </c>
      <c r="P241" s="101">
        <v>39</v>
      </c>
    </row>
    <row r="242" spans="2:16" s="56" customFormat="1" ht="18.75">
      <c r="B242" s="100" t="s">
        <v>283</v>
      </c>
      <c r="C242" s="99" t="s">
        <v>231</v>
      </c>
      <c r="D242" s="101">
        <v>66</v>
      </c>
      <c r="E242" s="101">
        <v>66</v>
      </c>
      <c r="F242" s="108">
        <v>39</v>
      </c>
      <c r="G242" s="101">
        <v>39</v>
      </c>
      <c r="H242" s="101">
        <v>39</v>
      </c>
      <c r="I242" s="101">
        <v>39</v>
      </c>
      <c r="J242" s="101">
        <v>39</v>
      </c>
      <c r="K242" s="101">
        <v>39</v>
      </c>
      <c r="L242" s="101">
        <v>39</v>
      </c>
      <c r="M242" s="101">
        <v>39</v>
      </c>
      <c r="N242" s="101">
        <v>39</v>
      </c>
      <c r="O242" s="101">
        <v>39</v>
      </c>
      <c r="P242" s="101">
        <v>39</v>
      </c>
    </row>
    <row r="243" spans="2:16" s="56" customFormat="1" ht="18.75">
      <c r="B243" s="100" t="s">
        <v>284</v>
      </c>
      <c r="C243" s="99" t="s">
        <v>285</v>
      </c>
      <c r="D243" s="109">
        <v>1216.1960773877599</v>
      </c>
      <c r="E243" s="109">
        <v>1187.0389610389611</v>
      </c>
      <c r="F243" s="110">
        <v>1187.0389610389611</v>
      </c>
      <c r="G243" s="109">
        <v>1171.8205128205129</v>
      </c>
      <c r="H243" s="109">
        <v>1156.9873417721519</v>
      </c>
      <c r="I243" s="109">
        <v>1142.5250000000001</v>
      </c>
      <c r="J243" s="109">
        <v>1128.4197530864199</v>
      </c>
      <c r="K243" s="109">
        <v>1142.5250000000001</v>
      </c>
      <c r="L243" s="109">
        <v>1121.4969325153374</v>
      </c>
      <c r="M243" s="109">
        <v>1101.2289156626507</v>
      </c>
      <c r="N243" s="109">
        <v>1142.5250000000001</v>
      </c>
      <c r="O243" s="109">
        <v>1121.4969325153374</v>
      </c>
      <c r="P243" s="109">
        <v>1101.2289156626507</v>
      </c>
    </row>
    <row r="244" spans="2:16" ht="18.75">
      <c r="B244" s="100" t="s">
        <v>286</v>
      </c>
      <c r="C244" s="99" t="s">
        <v>287</v>
      </c>
      <c r="D244" s="109">
        <v>7525.0339303297233</v>
      </c>
      <c r="E244" s="109">
        <v>7344.6285714285714</v>
      </c>
      <c r="F244" s="110">
        <v>7344.6285714285714</v>
      </c>
      <c r="G244" s="109">
        <v>7250.4666666666672</v>
      </c>
      <c r="H244" s="109">
        <v>7158.688607594936</v>
      </c>
      <c r="I244" s="109">
        <v>7069.2049999999999</v>
      </c>
      <c r="J244" s="109">
        <v>6981.9308641975313</v>
      </c>
      <c r="K244" s="109">
        <v>7069.2049999999999</v>
      </c>
      <c r="L244" s="109">
        <v>6939.0969325153374</v>
      </c>
      <c r="M244" s="109">
        <v>6813.6915662650599</v>
      </c>
      <c r="N244" s="109">
        <v>7069.2049999999999</v>
      </c>
      <c r="O244" s="109">
        <v>6939.0969325153374</v>
      </c>
      <c r="P244" s="109">
        <v>6813.6915662650599</v>
      </c>
    </row>
    <row r="245" spans="2:16" ht="37.5">
      <c r="B245" s="100" t="s">
        <v>288</v>
      </c>
      <c r="C245" s="99" t="s">
        <v>289</v>
      </c>
      <c r="D245" s="109">
        <v>49.897543710248293</v>
      </c>
      <c r="E245" s="109">
        <v>48.701298701298697</v>
      </c>
      <c r="F245" s="110">
        <v>48.701298701298697</v>
      </c>
      <c r="G245" s="109">
        <v>48.1</v>
      </c>
      <c r="H245" s="109">
        <v>47.468354430379748</v>
      </c>
      <c r="I245" s="109">
        <v>46.875</v>
      </c>
      <c r="J245" s="109">
        <v>46.296296296296298</v>
      </c>
      <c r="K245" s="109">
        <v>46.875</v>
      </c>
      <c r="L245" s="109">
        <v>46.012269938650306</v>
      </c>
      <c r="M245" s="109">
        <v>45.180722891566262</v>
      </c>
      <c r="N245" s="109">
        <v>46.875</v>
      </c>
      <c r="O245" s="109">
        <v>46.012269938650306</v>
      </c>
      <c r="P245" s="109">
        <v>45.180722891566262</v>
      </c>
    </row>
    <row r="246" spans="2:16" ht="56.25">
      <c r="B246" s="111" t="s">
        <v>290</v>
      </c>
      <c r="C246" s="99" t="s">
        <v>192</v>
      </c>
      <c r="D246" s="112">
        <v>95.1</v>
      </c>
      <c r="E246" s="101">
        <v>86.5</v>
      </c>
      <c r="F246" s="108">
        <v>87.1</v>
      </c>
      <c r="G246" s="101">
        <f>F246</f>
        <v>87.1</v>
      </c>
      <c r="H246" s="101">
        <v>90.1</v>
      </c>
      <c r="I246" s="101">
        <f>H246</f>
        <v>90.1</v>
      </c>
      <c r="J246" s="101">
        <f>H246</f>
        <v>90.1</v>
      </c>
      <c r="K246" s="101">
        <f>H246</f>
        <v>90.1</v>
      </c>
      <c r="L246" s="101">
        <f>K246</f>
        <v>90.1</v>
      </c>
      <c r="M246" s="101">
        <f>K246</f>
        <v>90.1</v>
      </c>
      <c r="N246" s="101">
        <f>H246</f>
        <v>90.1</v>
      </c>
      <c r="O246" s="101">
        <f>N246</f>
        <v>90.1</v>
      </c>
      <c r="P246" s="101">
        <f>N246</f>
        <v>90.1</v>
      </c>
    </row>
    <row r="247" spans="2:16" ht="18.75">
      <c r="B247" s="98" t="s">
        <v>207</v>
      </c>
      <c r="C247" s="99"/>
      <c r="D247" s="112"/>
      <c r="E247" s="101"/>
      <c r="F247" s="108"/>
      <c r="G247" s="101"/>
      <c r="H247" s="101"/>
      <c r="I247" s="101"/>
      <c r="J247" s="101"/>
      <c r="K247" s="101"/>
      <c r="L247" s="101"/>
      <c r="M247" s="101"/>
      <c r="N247" s="101"/>
      <c r="O247" s="112"/>
      <c r="P247" s="112"/>
    </row>
    <row r="248" spans="2:16" s="36" customFormat="1" ht="18" hidden="1" customHeight="1">
      <c r="B248" s="113" t="s">
        <v>291</v>
      </c>
      <c r="C248" s="105" t="s">
        <v>192</v>
      </c>
      <c r="D248" s="114">
        <v>0</v>
      </c>
      <c r="E248" s="106">
        <v>0</v>
      </c>
      <c r="F248" s="108">
        <v>0</v>
      </c>
      <c r="G248" s="106">
        <v>0</v>
      </c>
      <c r="H248" s="106">
        <v>0</v>
      </c>
      <c r="I248" s="106">
        <f>H248</f>
        <v>0</v>
      </c>
      <c r="J248" s="106">
        <f>H248</f>
        <v>0</v>
      </c>
      <c r="K248" s="106">
        <v>0</v>
      </c>
      <c r="L248" s="106">
        <v>0</v>
      </c>
      <c r="M248" s="106">
        <v>0</v>
      </c>
      <c r="N248" s="106">
        <v>0</v>
      </c>
      <c r="O248" s="114">
        <v>0</v>
      </c>
      <c r="P248" s="114">
        <v>0</v>
      </c>
    </row>
    <row r="249" spans="2:16" ht="18.75">
      <c r="B249" s="115" t="s">
        <v>292</v>
      </c>
      <c r="C249" s="99" t="s">
        <v>192</v>
      </c>
      <c r="D249" s="112">
        <f t="shared" ref="D249:P249" si="60">D246</f>
        <v>95.1</v>
      </c>
      <c r="E249" s="112">
        <f t="shared" si="60"/>
        <v>86.5</v>
      </c>
      <c r="F249" s="102">
        <f t="shared" si="60"/>
        <v>87.1</v>
      </c>
      <c r="G249" s="112">
        <f>G246</f>
        <v>87.1</v>
      </c>
      <c r="H249" s="112">
        <f t="shared" si="60"/>
        <v>90.1</v>
      </c>
      <c r="I249" s="112">
        <f t="shared" si="60"/>
        <v>90.1</v>
      </c>
      <c r="J249" s="112">
        <f t="shared" si="60"/>
        <v>90.1</v>
      </c>
      <c r="K249" s="112">
        <f t="shared" si="60"/>
        <v>90.1</v>
      </c>
      <c r="L249" s="112">
        <f t="shared" si="60"/>
        <v>90.1</v>
      </c>
      <c r="M249" s="112">
        <f t="shared" si="60"/>
        <v>90.1</v>
      </c>
      <c r="N249" s="112">
        <f t="shared" si="60"/>
        <v>90.1</v>
      </c>
      <c r="O249" s="112">
        <f t="shared" si="60"/>
        <v>90.1</v>
      </c>
      <c r="P249" s="112">
        <f t="shared" si="60"/>
        <v>90.1</v>
      </c>
    </row>
    <row r="250" spans="2:16" ht="37.5">
      <c r="B250" s="111" t="s">
        <v>293</v>
      </c>
      <c r="C250" s="99" t="s">
        <v>294</v>
      </c>
      <c r="D250" s="112">
        <v>0.5</v>
      </c>
      <c r="E250" s="101">
        <v>0.4</v>
      </c>
      <c r="F250" s="108">
        <v>0.4</v>
      </c>
      <c r="G250" s="101">
        <v>0.4</v>
      </c>
      <c r="H250" s="101">
        <v>0.5</v>
      </c>
      <c r="I250" s="101">
        <f>H250</f>
        <v>0.5</v>
      </c>
      <c r="J250" s="101">
        <f>H250</f>
        <v>0.5</v>
      </c>
      <c r="K250" s="101">
        <f>H250</f>
        <v>0.5</v>
      </c>
      <c r="L250" s="101">
        <f>K250</f>
        <v>0.5</v>
      </c>
      <c r="M250" s="101">
        <f>K250</f>
        <v>0.5</v>
      </c>
      <c r="N250" s="101">
        <f>H250</f>
        <v>0.5</v>
      </c>
      <c r="O250" s="101">
        <f>N250</f>
        <v>0.5</v>
      </c>
      <c r="P250" s="101">
        <f>N250</f>
        <v>0.5</v>
      </c>
    </row>
  </sheetData>
  <mergeCells count="12">
    <mergeCell ref="B2:P2"/>
    <mergeCell ref="B3:P3"/>
    <mergeCell ref="B4:P4"/>
    <mergeCell ref="B6:B9"/>
    <mergeCell ref="C6:C9"/>
    <mergeCell ref="D7:D9"/>
    <mergeCell ref="E7:E9"/>
    <mergeCell ref="F7:F9"/>
    <mergeCell ref="G7:G9"/>
    <mergeCell ref="H7:J7"/>
    <mergeCell ref="K7:M7"/>
    <mergeCell ref="N7:P7"/>
  </mergeCells>
  <pageMargins left="0.19685039370078741" right="0.19685039370078741" top="0.39370078740157483" bottom="0.19685039370078741" header="0" footer="0"/>
  <pageSetup paperSize="9"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 (2)</vt:lpstr>
      <vt:lpstr>'форма 2п (2)'!Заголовки_для_печати</vt:lpstr>
      <vt:lpstr>'форма 2п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Калашникова</dc:creator>
  <cp:lastModifiedBy>Урушанова Маргарита</cp:lastModifiedBy>
  <dcterms:created xsi:type="dcterms:W3CDTF">2019-10-31T07:47:37Z</dcterms:created>
  <dcterms:modified xsi:type="dcterms:W3CDTF">2019-11-14T10:06:38Z</dcterms:modified>
</cp:coreProperties>
</file>