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3040" windowHeight="8760" activeTab="1"/>
  </bookViews>
  <sheets>
    <sheet name="Форма 1" sheetId="1" r:id="rId1"/>
    <sheet name="Форма 2 " sheetId="9" r:id="rId2"/>
    <sheet name="Форма 3" sheetId="5" r:id="rId3"/>
    <sheet name="Форма 4" sheetId="6" r:id="rId4"/>
    <sheet name="Форма 5" sheetId="7" r:id="rId5"/>
    <sheet name="Форма 6" sheetId="8" r:id="rId6"/>
  </sheets>
  <definedNames>
    <definedName name="_xlnm._FilterDatabase" localSheetId="1" hidden="1">'Форма 2 '!$A$4:$K$80</definedName>
    <definedName name="OLE_LINK1" localSheetId="0">'Форма 1'!#REF!</definedName>
    <definedName name="_xlnm.Print_Titles" localSheetId="0">'Форма 1'!$4:$7</definedName>
    <definedName name="_xlnm.Print_Titles" localSheetId="1">'Форма 2 '!$3:$7</definedName>
    <definedName name="_xlnm.Print_Titles" localSheetId="2">'Форма 3'!$5:$6</definedName>
    <definedName name="_xlnm.Print_Titles" localSheetId="3">'Форма 4'!$5:$6</definedName>
    <definedName name="_xlnm.Print_Titles" localSheetId="4">'Форма 5'!$5:$6</definedName>
    <definedName name="_xlnm.Print_Titles" localSheetId="5">'Форма 6'!$5:$7</definedName>
  </definedNames>
  <calcPr calcId="145621"/>
</workbook>
</file>

<file path=xl/calcChain.xml><?xml version="1.0" encoding="utf-8"?>
<calcChain xmlns="http://schemas.openxmlformats.org/spreadsheetml/2006/main">
  <c r="I8" i="9" l="1"/>
  <c r="E77" i="9" l="1"/>
  <c r="F7" i="5" l="1"/>
  <c r="H79" i="6"/>
  <c r="K79" i="5" l="1"/>
  <c r="K79" i="6" l="1"/>
  <c r="J79" i="6"/>
  <c r="I79" i="6"/>
  <c r="H78" i="6"/>
  <c r="K8" i="6"/>
  <c r="C79" i="6"/>
  <c r="D79" i="6"/>
  <c r="E79" i="6" l="1"/>
  <c r="F79" i="5"/>
  <c r="G79" i="5"/>
  <c r="K9" i="6"/>
  <c r="F78" i="5"/>
  <c r="E9" i="9"/>
  <c r="S41" i="1"/>
  <c r="S52" i="1"/>
  <c r="S51" i="1"/>
  <c r="S53" i="1"/>
  <c r="S50" i="1"/>
  <c r="Q74" i="1"/>
  <c r="Q73" i="1"/>
  <c r="S19" i="1"/>
  <c r="S8" i="1"/>
  <c r="S18" i="1"/>
  <c r="D80" i="1" l="1"/>
  <c r="S79" i="1"/>
  <c r="F80" i="9"/>
  <c r="E74" i="9"/>
  <c r="E75" i="9"/>
  <c r="E76" i="9"/>
  <c r="E78" i="9"/>
  <c r="K80" i="9"/>
  <c r="E76" i="6" l="1"/>
  <c r="E77" i="6"/>
  <c r="O73" i="5"/>
  <c r="O74" i="5"/>
  <c r="O75" i="5"/>
  <c r="O76" i="5"/>
  <c r="O77" i="5"/>
  <c r="O78" i="5"/>
  <c r="K78" i="5"/>
  <c r="K77" i="5"/>
  <c r="K76" i="5"/>
  <c r="K74" i="5"/>
  <c r="K73" i="5"/>
  <c r="K72" i="5"/>
  <c r="K71" i="5"/>
  <c r="F71" i="5"/>
  <c r="F72" i="5"/>
  <c r="F73" i="5"/>
  <c r="F74" i="5"/>
  <c r="F75" i="5"/>
  <c r="F76" i="5"/>
  <c r="F77" i="5"/>
  <c r="J70" i="6"/>
  <c r="H72" i="6"/>
  <c r="H74" i="6"/>
  <c r="H75" i="6"/>
  <c r="H76" i="6"/>
  <c r="H77" i="6"/>
  <c r="D80" i="8"/>
  <c r="E80" i="8"/>
  <c r="F80" i="8"/>
  <c r="G80" i="8"/>
  <c r="H80" i="8"/>
  <c r="C80" i="8"/>
  <c r="J79" i="7"/>
  <c r="I79" i="7"/>
  <c r="H79" i="7"/>
  <c r="G79" i="7"/>
  <c r="F79" i="7"/>
  <c r="E79" i="7"/>
  <c r="C79" i="7"/>
  <c r="E74" i="6"/>
  <c r="E75" i="6"/>
  <c r="E73" i="6"/>
  <c r="O7" i="5"/>
  <c r="K7" i="5"/>
  <c r="J7" i="5"/>
  <c r="G80" i="9"/>
  <c r="E70" i="9"/>
  <c r="E68" i="9"/>
  <c r="S74" i="1"/>
  <c r="S30" i="1"/>
  <c r="S29" i="1"/>
  <c r="S28" i="1"/>
  <c r="Q79" i="1"/>
  <c r="R74" i="1"/>
  <c r="R75" i="1"/>
  <c r="R76" i="1"/>
  <c r="K75" i="5" s="1"/>
  <c r="R77" i="1"/>
  <c r="R78" i="1"/>
  <c r="R79" i="1"/>
  <c r="Q75" i="1"/>
  <c r="S75" i="1" s="1"/>
  <c r="Q76" i="1"/>
  <c r="S76" i="1" s="1"/>
  <c r="Q77" i="1"/>
  <c r="S77" i="1" s="1"/>
  <c r="Q78" i="1"/>
  <c r="S78" i="1" s="1"/>
  <c r="Q25" i="1"/>
  <c r="Q16" i="1"/>
  <c r="R14" i="1"/>
  <c r="Q14" i="1"/>
  <c r="Q15" i="1"/>
  <c r="R16" i="1"/>
  <c r="R8" i="1"/>
  <c r="Q8" i="1"/>
  <c r="R79" i="6" l="1"/>
  <c r="Q79" i="6"/>
  <c r="P79" i="6"/>
  <c r="O79" i="6"/>
  <c r="G80" i="1"/>
  <c r="F80" i="1"/>
  <c r="E80" i="1"/>
  <c r="H80" i="1"/>
  <c r="I80" i="1"/>
  <c r="J80" i="1"/>
  <c r="K80" i="1"/>
  <c r="L80" i="1"/>
  <c r="M80" i="1"/>
  <c r="N80" i="1"/>
  <c r="O80" i="1"/>
  <c r="J80" i="9" l="1"/>
  <c r="K79" i="7"/>
  <c r="D79" i="7"/>
  <c r="N79" i="6"/>
  <c r="G79" i="6"/>
  <c r="F79" i="6"/>
  <c r="N79" i="5"/>
  <c r="M79" i="5"/>
  <c r="L79" i="5"/>
  <c r="I79" i="5"/>
  <c r="H79" i="5"/>
  <c r="C79" i="5"/>
  <c r="H80" i="9"/>
  <c r="P80" i="1" l="1"/>
  <c r="E27" i="6"/>
  <c r="F62" i="8"/>
  <c r="F61" i="8"/>
  <c r="F60" i="8"/>
  <c r="F59" i="8"/>
  <c r="F58" i="8"/>
  <c r="F54" i="8"/>
  <c r="F55" i="8"/>
  <c r="F50" i="8"/>
  <c r="F47" i="8"/>
  <c r="F45" i="8"/>
  <c r="F44" i="8"/>
  <c r="F43" i="8"/>
  <c r="F40" i="8"/>
  <c r="F39" i="8"/>
  <c r="F38" i="8"/>
  <c r="F17" i="8"/>
  <c r="F14" i="8"/>
  <c r="F67" i="8"/>
  <c r="F35" i="8"/>
  <c r="F33" i="8"/>
  <c r="F32" i="8"/>
  <c r="F29" i="8"/>
  <c r="F36" i="8"/>
  <c r="F31" i="8"/>
  <c r="F30" i="8"/>
  <c r="F28" i="8"/>
  <c r="F27" i="8"/>
  <c r="F25" i="8"/>
  <c r="F23" i="8"/>
  <c r="F22" i="8"/>
  <c r="F11" i="8"/>
  <c r="F9" i="8"/>
  <c r="F8" i="8"/>
  <c r="H43" i="6" l="1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1" i="6"/>
  <c r="J72" i="6"/>
  <c r="J14" i="6"/>
  <c r="K14" i="6" s="1"/>
  <c r="J15" i="6"/>
  <c r="J13" i="6"/>
  <c r="J12" i="6"/>
  <c r="J11" i="6"/>
  <c r="J10" i="6"/>
  <c r="K10" i="6" s="1"/>
  <c r="J9" i="6"/>
  <c r="E7" i="6"/>
  <c r="E73" i="9" l="1"/>
  <c r="E72" i="9"/>
  <c r="E71" i="9"/>
  <c r="E69" i="9"/>
  <c r="E67" i="9"/>
  <c r="E66" i="9"/>
  <c r="E65" i="9"/>
  <c r="C64" i="9"/>
  <c r="E63" i="9"/>
  <c r="C63" i="9"/>
  <c r="E62" i="9"/>
  <c r="C62" i="9"/>
  <c r="E61" i="9"/>
  <c r="C61" i="9"/>
  <c r="E60" i="9"/>
  <c r="C60" i="9"/>
  <c r="E59" i="9"/>
  <c r="C59" i="9"/>
  <c r="E58" i="9"/>
  <c r="C58" i="9"/>
  <c r="E57" i="9"/>
  <c r="C57" i="9"/>
  <c r="E56" i="9"/>
  <c r="C56" i="9"/>
  <c r="E55" i="9"/>
  <c r="C55" i="9"/>
  <c r="E54" i="9"/>
  <c r="C54" i="9"/>
  <c r="E53" i="9"/>
  <c r="C53" i="9"/>
  <c r="E52" i="9"/>
  <c r="C52" i="9"/>
  <c r="E51" i="9"/>
  <c r="C51" i="9"/>
  <c r="E50" i="9"/>
  <c r="C50" i="9"/>
  <c r="E49" i="9"/>
  <c r="C49" i="9"/>
  <c r="E48" i="9"/>
  <c r="C48" i="9"/>
  <c r="E47" i="9"/>
  <c r="C47" i="9"/>
  <c r="E46" i="9"/>
  <c r="C46" i="9"/>
  <c r="E45" i="9"/>
  <c r="C45" i="9"/>
  <c r="E44" i="9"/>
  <c r="C44" i="9"/>
  <c r="E43" i="9"/>
  <c r="C43" i="9"/>
  <c r="E42" i="9"/>
  <c r="C42" i="9"/>
  <c r="E41" i="9"/>
  <c r="E40" i="9"/>
  <c r="C40" i="9"/>
  <c r="E39" i="9"/>
  <c r="C39" i="9"/>
  <c r="E38" i="9"/>
  <c r="C38" i="9"/>
  <c r="E37" i="9"/>
  <c r="C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C20" i="9"/>
  <c r="E19" i="9"/>
  <c r="C19" i="9"/>
  <c r="E18" i="9"/>
  <c r="C18" i="9"/>
  <c r="E17" i="9"/>
  <c r="C17" i="9"/>
  <c r="E16" i="9"/>
  <c r="C16" i="9"/>
  <c r="E15" i="9"/>
  <c r="C15" i="9"/>
  <c r="E14" i="9"/>
  <c r="C14" i="9"/>
  <c r="E13" i="9"/>
  <c r="E12" i="9"/>
  <c r="E11" i="9"/>
  <c r="E10" i="9"/>
  <c r="I80" i="9"/>
  <c r="E8" i="9" l="1"/>
  <c r="C80" i="9"/>
  <c r="Q37" i="1" l="1"/>
  <c r="Q36" i="1"/>
  <c r="Q9" i="1"/>
  <c r="R9" i="1"/>
  <c r="Q10" i="1"/>
  <c r="R10" i="1"/>
  <c r="Q11" i="1"/>
  <c r="R11" i="1"/>
  <c r="Q30" i="1"/>
  <c r="Q23" i="1"/>
  <c r="R23" i="1"/>
  <c r="Q24" i="1"/>
  <c r="R24" i="1"/>
  <c r="R25" i="1"/>
  <c r="Q26" i="1"/>
  <c r="R26" i="1"/>
  <c r="Q27" i="1"/>
  <c r="R27" i="1"/>
  <c r="Q28" i="1"/>
  <c r="R28" i="1"/>
  <c r="Q29" i="1"/>
  <c r="R29" i="1"/>
  <c r="R30" i="1"/>
  <c r="Q31" i="1"/>
  <c r="R31" i="1"/>
  <c r="Q32" i="1"/>
  <c r="R32" i="1"/>
  <c r="Q33" i="1"/>
  <c r="R33" i="1"/>
  <c r="Q34" i="1"/>
  <c r="R34" i="1"/>
  <c r="Q35" i="1"/>
  <c r="R35" i="1"/>
  <c r="R36" i="1"/>
  <c r="R37" i="1"/>
  <c r="Q38" i="1"/>
  <c r="R38" i="1"/>
  <c r="Q39" i="1"/>
  <c r="R39" i="1"/>
  <c r="Q40" i="1"/>
  <c r="R40" i="1"/>
  <c r="Q41" i="1"/>
  <c r="R41" i="1"/>
  <c r="Q42" i="1"/>
  <c r="R42" i="1"/>
  <c r="Q43" i="1"/>
  <c r="S43" i="1" s="1"/>
  <c r="R43" i="1"/>
  <c r="Q44" i="1"/>
  <c r="R44" i="1"/>
  <c r="Q45" i="1"/>
  <c r="R45" i="1"/>
  <c r="Q46" i="1"/>
  <c r="R46" i="1"/>
  <c r="Q47" i="1"/>
  <c r="R47" i="1"/>
  <c r="Q48" i="1"/>
  <c r="R48" i="1"/>
  <c r="Q49" i="1"/>
  <c r="R49" i="1"/>
  <c r="Q50" i="1"/>
  <c r="R50" i="1"/>
  <c r="Q51" i="1"/>
  <c r="R51" i="1"/>
  <c r="Q52" i="1"/>
  <c r="R52" i="1"/>
  <c r="Q53" i="1"/>
  <c r="R53" i="1"/>
  <c r="Q54" i="1"/>
  <c r="R54" i="1"/>
  <c r="Q55" i="1"/>
  <c r="R55" i="1"/>
  <c r="Q56" i="1"/>
  <c r="R56" i="1"/>
  <c r="Q57" i="1"/>
  <c r="R57" i="1"/>
  <c r="Q58" i="1"/>
  <c r="R58" i="1"/>
  <c r="Q59" i="1"/>
  <c r="R59" i="1"/>
  <c r="Q60" i="1"/>
  <c r="R60" i="1"/>
  <c r="Q61" i="1"/>
  <c r="R61" i="1"/>
  <c r="Q62" i="1"/>
  <c r="R62" i="1"/>
  <c r="Q63" i="1"/>
  <c r="R63" i="1"/>
  <c r="Q64" i="1"/>
  <c r="R64" i="1"/>
  <c r="Q65" i="1"/>
  <c r="R65" i="1"/>
  <c r="Q66" i="1"/>
  <c r="R66" i="1"/>
  <c r="Q67" i="1"/>
  <c r="R67" i="1"/>
  <c r="Q68" i="1"/>
  <c r="R68" i="1"/>
  <c r="Q69" i="1"/>
  <c r="R69" i="1"/>
  <c r="Q70" i="1"/>
  <c r="R70" i="1"/>
  <c r="Q71" i="1"/>
  <c r="R71" i="1"/>
  <c r="Q72" i="1"/>
  <c r="R72" i="1"/>
  <c r="R73" i="1"/>
  <c r="Q22" i="1"/>
  <c r="R22" i="1"/>
  <c r="Q21" i="1"/>
  <c r="R21" i="1"/>
  <c r="Q13" i="1"/>
  <c r="R13" i="1"/>
  <c r="R15" i="1"/>
  <c r="Q17" i="1"/>
  <c r="R17" i="1"/>
  <c r="Q18" i="1"/>
  <c r="R18" i="1"/>
  <c r="Q19" i="1"/>
  <c r="R19" i="1"/>
  <c r="R80" i="1" s="1"/>
  <c r="Q20" i="1"/>
  <c r="R20" i="1"/>
  <c r="R12" i="1"/>
  <c r="Q12" i="1"/>
  <c r="S12" i="1"/>
  <c r="Q80" i="1" l="1"/>
  <c r="S80" i="1" s="1"/>
  <c r="C67" i="1" l="1"/>
  <c r="C68" i="1"/>
  <c r="C69" i="1"/>
  <c r="C70" i="1"/>
  <c r="C71" i="1"/>
  <c r="C72" i="1"/>
  <c r="C73" i="1"/>
  <c r="C57" i="1"/>
  <c r="C58" i="1"/>
  <c r="C59" i="1"/>
  <c r="C60" i="1"/>
  <c r="C61" i="1"/>
  <c r="C62" i="1"/>
  <c r="C63" i="1"/>
  <c r="C64" i="1"/>
  <c r="C65" i="1"/>
  <c r="C66" i="1"/>
  <c r="C46" i="1"/>
  <c r="C47" i="1"/>
  <c r="C48" i="1"/>
  <c r="C49" i="1"/>
  <c r="C50" i="1"/>
  <c r="C51" i="1"/>
  <c r="C52" i="1"/>
  <c r="C53" i="1"/>
  <c r="C54" i="1"/>
  <c r="C55" i="1"/>
  <c r="C56" i="1"/>
  <c r="C35" i="1"/>
  <c r="C36" i="1"/>
  <c r="C37" i="1"/>
  <c r="C38" i="1"/>
  <c r="C39" i="1"/>
  <c r="C40" i="1"/>
  <c r="C41" i="1"/>
  <c r="C42" i="1"/>
  <c r="C43" i="1"/>
  <c r="C44" i="1"/>
  <c r="C45" i="1"/>
  <c r="C27" i="1"/>
  <c r="C28" i="1"/>
  <c r="C29" i="1"/>
  <c r="C30" i="1"/>
  <c r="C31" i="1"/>
  <c r="C32" i="1"/>
  <c r="C33" i="1"/>
  <c r="C34" i="1"/>
  <c r="C21" i="1"/>
  <c r="C22" i="1"/>
  <c r="C23" i="1"/>
  <c r="C24" i="1"/>
  <c r="C25" i="1"/>
  <c r="C26" i="1"/>
  <c r="C11" i="1"/>
  <c r="C12" i="1"/>
  <c r="C13" i="1"/>
  <c r="C14" i="1"/>
  <c r="C16" i="1"/>
  <c r="C18" i="1"/>
  <c r="C19" i="1"/>
  <c r="K62" i="6" l="1"/>
  <c r="K66" i="6"/>
  <c r="K55" i="6"/>
  <c r="K56" i="6"/>
  <c r="K59" i="6"/>
  <c r="K60" i="6"/>
  <c r="K45" i="6"/>
  <c r="K48" i="6"/>
  <c r="K49" i="6"/>
  <c r="K52" i="6"/>
  <c r="K42" i="6"/>
  <c r="K43" i="6"/>
  <c r="K36" i="6"/>
  <c r="K37" i="6"/>
  <c r="K38" i="6"/>
  <c r="K39" i="6"/>
  <c r="K41" i="6"/>
  <c r="K31" i="6"/>
  <c r="K32" i="6"/>
  <c r="K33" i="6"/>
  <c r="K34" i="6"/>
  <c r="K35" i="6"/>
  <c r="K23" i="6"/>
  <c r="K24" i="6"/>
  <c r="K25" i="6"/>
  <c r="K26" i="6"/>
  <c r="K27" i="6"/>
  <c r="K28" i="6"/>
  <c r="K29" i="6"/>
  <c r="K30" i="6"/>
  <c r="K15" i="6"/>
  <c r="K17" i="6"/>
  <c r="K18" i="6"/>
  <c r="K19" i="6"/>
  <c r="K20" i="6"/>
  <c r="K21" i="6"/>
  <c r="K22" i="6"/>
  <c r="K13" i="6"/>
  <c r="K11" i="6"/>
  <c r="K12" i="6"/>
  <c r="K7" i="6"/>
  <c r="M79" i="6" l="1"/>
  <c r="L79" i="6"/>
  <c r="H23" i="6"/>
  <c r="F8" i="7"/>
  <c r="F9" i="7"/>
  <c r="F10" i="7"/>
  <c r="F11" i="7"/>
  <c r="F12" i="7"/>
  <c r="F13" i="7"/>
  <c r="F14" i="7"/>
  <c r="F15" i="7"/>
  <c r="F16" i="7"/>
  <c r="F17" i="7"/>
  <c r="F18" i="7"/>
  <c r="F20" i="7"/>
  <c r="F21" i="7"/>
  <c r="F22" i="7"/>
  <c r="F23" i="7"/>
  <c r="F26" i="7"/>
  <c r="F27" i="7"/>
  <c r="F28" i="7"/>
  <c r="F29" i="7"/>
  <c r="F30" i="7"/>
  <c r="F31" i="7"/>
  <c r="F32" i="7"/>
  <c r="F34" i="7"/>
  <c r="F36" i="7"/>
  <c r="F37" i="7"/>
  <c r="F38" i="7"/>
  <c r="F39" i="7"/>
  <c r="F40" i="7"/>
  <c r="F42" i="7"/>
  <c r="F43" i="7"/>
  <c r="F44" i="7"/>
  <c r="F45" i="7"/>
  <c r="F46" i="7"/>
  <c r="F47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" i="7"/>
  <c r="C17" i="1" l="1"/>
  <c r="C15" i="1"/>
  <c r="C10" i="1"/>
  <c r="C9" i="1"/>
  <c r="C9" i="7" l="1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L61" i="7" l="1"/>
  <c r="L62" i="7"/>
  <c r="L63" i="7"/>
  <c r="L64" i="7"/>
  <c r="L65" i="7"/>
  <c r="L66" i="7"/>
  <c r="L67" i="7"/>
  <c r="L68" i="7"/>
  <c r="L69" i="7"/>
  <c r="L70" i="7"/>
  <c r="L71" i="7"/>
  <c r="L72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33" i="7"/>
  <c r="L34" i="7"/>
  <c r="L35" i="7"/>
  <c r="L36" i="7"/>
  <c r="L37" i="7"/>
  <c r="L38" i="7"/>
  <c r="L39" i="7"/>
  <c r="L40" i="7"/>
  <c r="L41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8" i="7"/>
  <c r="L9" i="7"/>
  <c r="L10" i="7"/>
  <c r="L11" i="7"/>
  <c r="L12" i="7"/>
  <c r="L13" i="7"/>
  <c r="L14" i="7"/>
  <c r="L15" i="7"/>
  <c r="L16" i="7"/>
  <c r="L17" i="7"/>
  <c r="L18" i="7"/>
  <c r="L19" i="7"/>
  <c r="L7" i="7"/>
  <c r="H15" i="6"/>
  <c r="H57" i="6"/>
  <c r="H58" i="6"/>
  <c r="H59" i="6"/>
  <c r="H60" i="6"/>
  <c r="H61" i="6"/>
  <c r="H62" i="6"/>
  <c r="H63" i="6"/>
  <c r="H66" i="6"/>
  <c r="H67" i="6"/>
  <c r="H68" i="6"/>
  <c r="H70" i="6"/>
  <c r="H71" i="6"/>
  <c r="H45" i="6"/>
  <c r="H46" i="6"/>
  <c r="H47" i="6"/>
  <c r="H48" i="6"/>
  <c r="H49" i="6"/>
  <c r="H50" i="6"/>
  <c r="H51" i="6"/>
  <c r="H52" i="6"/>
  <c r="H53" i="6"/>
  <c r="H54" i="6"/>
  <c r="H55" i="6"/>
  <c r="H56" i="6"/>
  <c r="H33" i="6"/>
  <c r="H34" i="6"/>
  <c r="H35" i="6"/>
  <c r="H36" i="6"/>
  <c r="H37" i="6"/>
  <c r="H38" i="6"/>
  <c r="H39" i="6"/>
  <c r="H40" i="6"/>
  <c r="H41" i="6"/>
  <c r="H44" i="6"/>
  <c r="H21" i="6"/>
  <c r="H22" i="6"/>
  <c r="H24" i="6"/>
  <c r="H25" i="6"/>
  <c r="H26" i="6"/>
  <c r="H27" i="6"/>
  <c r="H28" i="6"/>
  <c r="H29" i="6"/>
  <c r="H30" i="6"/>
  <c r="H31" i="6"/>
  <c r="H32" i="6"/>
  <c r="H11" i="6"/>
  <c r="H12" i="6"/>
  <c r="H13" i="6"/>
  <c r="H14" i="6"/>
  <c r="H16" i="6"/>
  <c r="H17" i="6"/>
  <c r="H18" i="6"/>
  <c r="H19" i="6"/>
  <c r="H20" i="6"/>
  <c r="H10" i="6"/>
  <c r="E70" i="6"/>
  <c r="E55" i="6"/>
  <c r="E56" i="6"/>
  <c r="E57" i="6"/>
  <c r="E58" i="6"/>
  <c r="E59" i="6"/>
  <c r="E60" i="6"/>
  <c r="E61" i="6"/>
  <c r="E62" i="6"/>
  <c r="E63" i="6"/>
  <c r="E45" i="6"/>
  <c r="E46" i="6"/>
  <c r="E47" i="6"/>
  <c r="E48" i="6"/>
  <c r="E49" i="6"/>
  <c r="E50" i="6"/>
  <c r="E51" i="6"/>
  <c r="E52" i="6"/>
  <c r="E53" i="6"/>
  <c r="E54" i="6"/>
  <c r="E34" i="6"/>
  <c r="E35" i="6"/>
  <c r="E36" i="6"/>
  <c r="E37" i="6"/>
  <c r="E38" i="6"/>
  <c r="E39" i="6"/>
  <c r="E41" i="6"/>
  <c r="E42" i="6"/>
  <c r="E43" i="6"/>
  <c r="E44" i="6"/>
  <c r="E24" i="6"/>
  <c r="E25" i="6"/>
  <c r="E26" i="6"/>
  <c r="E28" i="6"/>
  <c r="E29" i="6"/>
  <c r="E30" i="6"/>
  <c r="E31" i="6"/>
  <c r="E32" i="6"/>
  <c r="E33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H9" i="6"/>
  <c r="E9" i="6"/>
  <c r="H8" i="6"/>
  <c r="E8" i="6"/>
  <c r="H7" i="6"/>
  <c r="F60" i="5"/>
  <c r="F61" i="5"/>
  <c r="F62" i="5"/>
  <c r="F63" i="5"/>
  <c r="F64" i="5"/>
  <c r="F65" i="5"/>
  <c r="F66" i="5"/>
  <c r="F67" i="5"/>
  <c r="F68" i="5"/>
  <c r="F69" i="5"/>
  <c r="F70" i="5"/>
  <c r="F48" i="5"/>
  <c r="F49" i="5"/>
  <c r="F50" i="5"/>
  <c r="F51" i="5"/>
  <c r="F52" i="5"/>
  <c r="F53" i="5"/>
  <c r="F54" i="5"/>
  <c r="F55" i="5"/>
  <c r="F56" i="5"/>
  <c r="F57" i="5"/>
  <c r="F58" i="5"/>
  <c r="F59" i="5"/>
  <c r="F36" i="5"/>
  <c r="F37" i="5"/>
  <c r="F38" i="5"/>
  <c r="F39" i="5"/>
  <c r="F40" i="5"/>
  <c r="F41" i="5"/>
  <c r="F42" i="5"/>
  <c r="F43" i="5"/>
  <c r="F44" i="5"/>
  <c r="F45" i="5"/>
  <c r="F46" i="5"/>
  <c r="F47" i="5"/>
  <c r="F27" i="5"/>
  <c r="F28" i="5"/>
  <c r="F29" i="5"/>
  <c r="F30" i="5"/>
  <c r="F31" i="5"/>
  <c r="F32" i="5"/>
  <c r="F33" i="5"/>
  <c r="F34" i="5"/>
  <c r="F35" i="5"/>
  <c r="F26" i="5"/>
  <c r="F25" i="5"/>
  <c r="F24" i="5"/>
  <c r="F23" i="5"/>
  <c r="F22" i="5"/>
  <c r="F21" i="5"/>
  <c r="F13" i="5"/>
  <c r="F14" i="5"/>
  <c r="F15" i="5"/>
  <c r="F16" i="5"/>
  <c r="F17" i="5"/>
  <c r="F18" i="5"/>
  <c r="F19" i="5"/>
  <c r="F20" i="5"/>
  <c r="O12" i="5"/>
  <c r="F12" i="5"/>
  <c r="F11" i="5"/>
  <c r="F10" i="5"/>
  <c r="F9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8" i="5"/>
  <c r="O9" i="5"/>
  <c r="O10" i="5"/>
  <c r="O11" i="5"/>
  <c r="O13" i="5"/>
  <c r="O14" i="5"/>
  <c r="O15" i="5"/>
  <c r="O16" i="5"/>
  <c r="O17" i="5"/>
  <c r="O18" i="5"/>
  <c r="O19" i="5"/>
  <c r="O20" i="5"/>
  <c r="O21" i="5"/>
  <c r="O22" i="5"/>
  <c r="J70" i="5"/>
  <c r="J71" i="5"/>
  <c r="J72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26" i="5"/>
  <c r="J27" i="5"/>
  <c r="J28" i="5"/>
  <c r="J29" i="5"/>
  <c r="J30" i="5"/>
  <c r="J31" i="5"/>
  <c r="J32" i="5"/>
  <c r="J33" i="5"/>
  <c r="J34" i="5"/>
  <c r="J35" i="5"/>
  <c r="J36" i="5"/>
  <c r="J21" i="5"/>
  <c r="J22" i="5"/>
  <c r="J23" i="5"/>
  <c r="J24" i="5"/>
  <c r="J25" i="5"/>
  <c r="J9" i="5"/>
  <c r="J10" i="5"/>
  <c r="J11" i="5"/>
  <c r="J12" i="5"/>
  <c r="J13" i="5"/>
  <c r="J14" i="5"/>
  <c r="J15" i="5"/>
  <c r="J16" i="5"/>
  <c r="J17" i="5"/>
  <c r="J18" i="5"/>
  <c r="J19" i="5"/>
  <c r="J20" i="5"/>
  <c r="J8" i="5"/>
  <c r="F8" i="5"/>
  <c r="K25" i="5"/>
  <c r="S15" i="1"/>
  <c r="S16" i="1"/>
  <c r="S11" i="1"/>
  <c r="S17" i="1"/>
  <c r="S13" i="1"/>
  <c r="S14" i="1"/>
  <c r="S64" i="1"/>
  <c r="S65" i="1"/>
  <c r="S66" i="1"/>
  <c r="S67" i="1"/>
  <c r="S68" i="1"/>
  <c r="S69" i="1"/>
  <c r="S70" i="1"/>
  <c r="S71" i="1"/>
  <c r="S72" i="1"/>
  <c r="S73" i="1"/>
  <c r="S54" i="1"/>
  <c r="S55" i="1"/>
  <c r="S56" i="1"/>
  <c r="S57" i="1"/>
  <c r="S58" i="1"/>
  <c r="S59" i="1"/>
  <c r="S60" i="1"/>
  <c r="S61" i="1"/>
  <c r="S62" i="1"/>
  <c r="S63" i="1"/>
  <c r="S39" i="1"/>
  <c r="S40" i="1"/>
  <c r="S42" i="1"/>
  <c r="S44" i="1"/>
  <c r="S45" i="1"/>
  <c r="S46" i="1"/>
  <c r="S47" i="1"/>
  <c r="S48" i="1"/>
  <c r="S49" i="1"/>
  <c r="S31" i="1"/>
  <c r="S32" i="1"/>
  <c r="S33" i="1"/>
  <c r="S34" i="1"/>
  <c r="S35" i="1"/>
  <c r="S36" i="1"/>
  <c r="S37" i="1"/>
  <c r="S38" i="1"/>
  <c r="S21" i="1"/>
  <c r="S22" i="1"/>
  <c r="S23" i="1"/>
  <c r="S24" i="1"/>
  <c r="S25" i="1"/>
  <c r="S26" i="1"/>
  <c r="S27" i="1"/>
  <c r="S10" i="1"/>
  <c r="L79" i="7" l="1"/>
  <c r="O79" i="5"/>
  <c r="C8" i="1"/>
  <c r="C20" i="1"/>
  <c r="S20" i="1"/>
  <c r="S9" i="1"/>
  <c r="K8" i="5"/>
  <c r="K20" i="5"/>
  <c r="K19" i="5"/>
  <c r="K18" i="5"/>
  <c r="K17" i="5"/>
  <c r="K16" i="5"/>
  <c r="K15" i="5"/>
  <c r="K14" i="5"/>
  <c r="K13" i="5"/>
  <c r="K12" i="5"/>
  <c r="K11" i="5"/>
  <c r="K10" i="5"/>
  <c r="K9" i="5"/>
  <c r="K24" i="5"/>
  <c r="K23" i="5"/>
  <c r="K22" i="5"/>
  <c r="K21" i="5"/>
  <c r="K36" i="5"/>
  <c r="K35" i="5"/>
  <c r="K34" i="5"/>
  <c r="K33" i="5"/>
  <c r="K32" i="5"/>
  <c r="K31" i="5"/>
  <c r="K30" i="5"/>
  <c r="K29" i="5"/>
  <c r="K28" i="5"/>
  <c r="K27" i="5"/>
  <c r="K26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70" i="5"/>
  <c r="J79" i="5" l="1"/>
  <c r="E64" i="9"/>
  <c r="E80" i="9" s="1"/>
  <c r="L9" i="9" l="1"/>
  <c r="L73" i="9"/>
  <c r="L34" i="9"/>
  <c r="L53" i="9"/>
  <c r="L47" i="9"/>
  <c r="L19" i="9"/>
  <c r="L68" i="9"/>
  <c r="L12" i="9"/>
  <c r="L60" i="9"/>
  <c r="L16" i="9"/>
  <c r="L72" i="9"/>
  <c r="L46" i="9"/>
  <c r="L50" i="9"/>
  <c r="L20" i="9"/>
  <c r="L21" i="9"/>
  <c r="L10" i="9"/>
  <c r="L28" i="9"/>
  <c r="L59" i="9"/>
  <c r="L55" i="9"/>
  <c r="L15" i="9"/>
  <c r="L29" i="9"/>
  <c r="L37" i="9"/>
  <c r="L56" i="9"/>
  <c r="L24" i="9"/>
  <c r="L14" i="9"/>
  <c r="L64" i="9"/>
  <c r="L41" i="9"/>
  <c r="L42" i="9"/>
  <c r="L61" i="9"/>
  <c r="L69" i="9"/>
  <c r="L52" i="9"/>
  <c r="L57" i="9"/>
  <c r="L8" i="9"/>
  <c r="L49" i="9"/>
  <c r="L48" i="9"/>
  <c r="L36" i="9"/>
  <c r="L26" i="9"/>
  <c r="L35" i="9"/>
  <c r="L63" i="9"/>
  <c r="L23" i="9"/>
  <c r="L43" i="9"/>
  <c r="L62" i="9"/>
  <c r="L32" i="9"/>
  <c r="L31" i="9"/>
  <c r="L67" i="9"/>
  <c r="L58" i="9"/>
  <c r="L18" i="9"/>
  <c r="L38" i="9"/>
  <c r="L17" i="9"/>
  <c r="L54" i="9"/>
  <c r="L70" i="9"/>
  <c r="L33" i="9"/>
  <c r="L66" i="9"/>
  <c r="L51" i="9"/>
  <c r="L65" i="9"/>
  <c r="L25" i="9"/>
  <c r="L27" i="9"/>
  <c r="L39" i="9"/>
  <c r="L71" i="9"/>
  <c r="L22" i="9"/>
  <c r="L13" i="9"/>
  <c r="L30" i="9"/>
  <c r="L44" i="9"/>
  <c r="L11" i="9"/>
  <c r="L40" i="9"/>
  <c r="L45" i="9"/>
  <c r="L74" i="9"/>
</calcChain>
</file>

<file path=xl/sharedStrings.xml><?xml version="1.0" encoding="utf-8"?>
<sst xmlns="http://schemas.openxmlformats.org/spreadsheetml/2006/main" count="730" uniqueCount="162">
  <si>
    <t>всего</t>
  </si>
  <si>
    <t xml:space="preserve">N 
пп
</t>
  </si>
  <si>
    <t xml:space="preserve">Бюджетное финансирование       </t>
  </si>
  <si>
    <t xml:space="preserve">Приносящая доход деятельность  </t>
  </si>
  <si>
    <t>Итого (тыс. руб.)</t>
  </si>
  <si>
    <t>иная приносящая доход деятельность</t>
  </si>
  <si>
    <t>Доля средств, полученных от осуществления приносящей доход деятельности, в общем объеме финансирования</t>
  </si>
  <si>
    <t xml:space="preserve"> Наименование муниципального учреждения</t>
  </si>
  <si>
    <t>субсидии на иные цели (предоставляемые в соответствии со статьей 78.1 Бюджетного кодекса Российской Федерации)</t>
  </si>
  <si>
    <t>оказание учреждением муниципальных услуг (работ),  предоставление которых осуществляется на платной основе</t>
  </si>
  <si>
    <t>Иные поступления</t>
  </si>
  <si>
    <t>субсидия на выполнение муниципального задания</t>
  </si>
  <si>
    <t>Р (тыс. руб.)</t>
  </si>
  <si>
    <t>Д (тыс.руб.)</t>
  </si>
  <si>
    <t>МАДОУ "Детский сад "Полянка" п. Мирный" Томского района</t>
  </si>
  <si>
    <t>МАДОУ "Детский сад ОВ с.Рыбалово" Томского района</t>
  </si>
  <si>
    <t>МАДОУ "Детский сад с. Корнилово" Томского района</t>
  </si>
  <si>
    <t>МАДОУ "Детский сад с. Малиновка" Томского района</t>
  </si>
  <si>
    <t>МАДОУ "ЦРР - детский сад д. Кисловка" Томского района</t>
  </si>
  <si>
    <t>МАДОУ "ЦРР - детский сад с.Моряковский Затон " Томского района</t>
  </si>
  <si>
    <t>МАОУ "Итатская СОШ" Томского района</t>
  </si>
  <si>
    <t>МАОУ "Калтайская СОШ" Томского района</t>
  </si>
  <si>
    <t>МАОУ "Кафтанчиковская СОШ" Томского района</t>
  </si>
  <si>
    <t>МАОУ "Копыловская СОШ" Томского района</t>
  </si>
  <si>
    <t>МАОУ "Малиновская СОШ" Томского района</t>
  </si>
  <si>
    <t>МАОУ "Моряковская СОШ" Томского района</t>
  </si>
  <si>
    <t>МАОУ "Спасская СОШ" Томского района</t>
  </si>
  <si>
    <t>МБДОУ "Детский сад "Рябинка" КВ" Томского района</t>
  </si>
  <si>
    <t>МБДОУ "Детский сад "Сказка" п.Зональная Станция" Томского района</t>
  </si>
  <si>
    <t>МБДОУ "Детский сад К.В. с. Октябрьское" Томского района</t>
  </si>
  <si>
    <t>МБДОУ "Детский сад КВ д.Нелюбино"</t>
  </si>
  <si>
    <t>МБДОУ "Детский сад КВ п. Молодежный" Томского района</t>
  </si>
  <si>
    <t>МБДОУ "Детский сад ОВ п. Рассвет" Томского района</t>
  </si>
  <si>
    <t>МБДОУ "Детский сад П и ОД " Томского района</t>
  </si>
  <si>
    <t>МБДОУ "Детский сад д. Черная речка" Томского района</t>
  </si>
  <si>
    <t>МБДОУ "Детский сад д.Воронино"</t>
  </si>
  <si>
    <t>МБДОУ "Детский сад п. Аэропорт"</t>
  </si>
  <si>
    <t>МБДОУ "Детский сад с. Батурино" Томского района</t>
  </si>
  <si>
    <t>МБДОУ "Детский сад с. Зоркальцево" Томского района</t>
  </si>
  <si>
    <t>МБДОУ "Детский сад с. Калтай" Томского района</t>
  </si>
  <si>
    <t>МБДОУ "Детский сад с.Кафтанчиково"</t>
  </si>
  <si>
    <t>МБДОУ "ЦРР -  детский сад п. Копылово" Томского района</t>
  </si>
  <si>
    <t>МБДОУ "ЦРР - детский сад с. Богашёво" Томского района</t>
  </si>
  <si>
    <t>МБОУ " Мазаловская СОШ" Томского района</t>
  </si>
  <si>
    <t>МБОУ " Поросинская СОШ" Томского района</t>
  </si>
  <si>
    <t>МБОУ "Александровская СОШ" Томского района</t>
  </si>
  <si>
    <t>МБОУ "Басандайская СОШ им.Д.А.Козлова" Томского района</t>
  </si>
  <si>
    <t>МБОУ "Богашевская В(С)ОШ" Томского района</t>
  </si>
  <si>
    <t>МБОУ "Богашевская СОШ им. А.И.Федорова" Томского района</t>
  </si>
  <si>
    <t>МБОУ "Воронинская СОШ" Томского района</t>
  </si>
  <si>
    <t>МБОУ "Зональненская СОШ" Томского района</t>
  </si>
  <si>
    <t>МБОУ "Зоркальцевская СОШ" Томского района</t>
  </si>
  <si>
    <t>МБОУ "Кисловская СОШ" Томского района</t>
  </si>
  <si>
    <t>МБОУ "Корниловская СОШ" Томского района</t>
  </si>
  <si>
    <t>МБОУ "Курлекская СОШ" Томского района</t>
  </si>
  <si>
    <t>МБОУ "Лучановская СОШ" Томского района</t>
  </si>
  <si>
    <t>МБОУ "Межениновская СОШ" Томского района</t>
  </si>
  <si>
    <t>МБОУ "Мирненская СОШ" Томского района</t>
  </si>
  <si>
    <t>МБОУ "Молодёжненская СОШ" Томского района</t>
  </si>
  <si>
    <t>МБОУ "Наумовская СОШ" Томского района</t>
  </si>
  <si>
    <t>МБОУ "Нелюбинская СОШ" Томского района</t>
  </si>
  <si>
    <t>МБОУ "Новоархангельская СОШ" Томского района</t>
  </si>
  <si>
    <t>МБОУ "Новорождественская СОШ" Томского района</t>
  </si>
  <si>
    <t>МБОУ "Октябрьская СОШ" Томского района</t>
  </si>
  <si>
    <t>МБОУ "Петуховская СОШ" Томского района</t>
  </si>
  <si>
    <t>МБОУ "Рассветовская СОШ" Томского района</t>
  </si>
  <si>
    <t>МБОУ "Рыбаловская СОШ" Томского района</t>
  </si>
  <si>
    <t>МБОУ "Семилуженская СОШ" Томского района</t>
  </si>
  <si>
    <t>МБОУ "Турунтаевская СОШ" Томского района</t>
  </si>
  <si>
    <t>МБОУ "Халдеевская ООШ" Томского района</t>
  </si>
  <si>
    <t>МБОУ "Чернореченская СОШ" Томского района</t>
  </si>
  <si>
    <t>МБОУ ДОД "ДДТ" Томского района</t>
  </si>
  <si>
    <t>МБОУ ДОД "ДМШ" Томского района</t>
  </si>
  <si>
    <t>МБОУ ДОД "ДЮСШ N1" Томского района</t>
  </si>
  <si>
    <t>МБОУ ДОД "ДЮСШ N2" Томского района</t>
  </si>
  <si>
    <t>МБОУ ДОД "ДЮСШ N3" Томского района</t>
  </si>
  <si>
    <t>МБОУ ДОД "ДЮСШ N4 д.Березкино" Томского района</t>
  </si>
  <si>
    <t>МБОУ ДОД "Копыловский п/к "Одиссей" "</t>
  </si>
  <si>
    <t>МБОУ ДОД "Корниловская ДШИ" Томского района</t>
  </si>
  <si>
    <t>МБОУ ДОД "Рыбаловская ДХШ"</t>
  </si>
  <si>
    <t>N пп</t>
  </si>
  <si>
    <t xml:space="preserve">Наименование муниципального учреждения  </t>
  </si>
  <si>
    <t xml:space="preserve">Объем оказанных услуг(работ) в натуральном выражении </t>
  </si>
  <si>
    <t>Финансовый результат хозяйствующего субъекта (тыс. руб.)</t>
  </si>
  <si>
    <t>финансовый результат текущей деятельности муниципального учреждения (в разрезе источников формирования), в том числе:</t>
  </si>
  <si>
    <t>Финансовый результат прошлых отчетных периодов</t>
  </si>
  <si>
    <t xml:space="preserve">иные поступления      </t>
  </si>
  <si>
    <t xml:space="preserve">приносящая доход деятельность   </t>
  </si>
  <si>
    <t>Наименование муниципального учреждения</t>
  </si>
  <si>
    <t xml:space="preserve">Среднесписочная численность, чел. </t>
  </si>
  <si>
    <t>Среднемесячная зарабоная плата работника, руб.</t>
  </si>
  <si>
    <t>Среднемесячная заработная плата руководителя, руб.</t>
  </si>
  <si>
    <t xml:space="preserve">Источники покрытия расходов на заработную плату, тыс. руб. </t>
  </si>
  <si>
    <t>Доля расходов на заработную плату в общем объеме расходов</t>
  </si>
  <si>
    <t>Начисления на оплату труда, тыс. руб.</t>
  </si>
  <si>
    <t>средства субсидии на выполнение муниципального задания</t>
  </si>
  <si>
    <t>приносящая доход деятельность</t>
  </si>
  <si>
    <t>иные источники</t>
  </si>
  <si>
    <t xml:space="preserve">средства субсидии на выполнение муниципального задания </t>
  </si>
  <si>
    <t>Недвижимое имущество</t>
  </si>
  <si>
    <t>Прочее движимое имущество</t>
  </si>
  <si>
    <t xml:space="preserve"> Площадь объектов недвижимости,  закрепленных на праве оперативного управления (кв.  м)</t>
  </si>
  <si>
    <t xml:space="preserve">  Площадь объектов недвижимости (кв. м)      </t>
  </si>
  <si>
    <t>Арендодатель</t>
  </si>
  <si>
    <t>Сумма уплаченной арендной платы по арендуемым объектам недвижимости (тыс. руб.)</t>
  </si>
  <si>
    <t>остаточная стоимость (тыс.руб.)</t>
  </si>
  <si>
    <t>износ (%)</t>
  </si>
  <si>
    <t>остаточная стоимость (тыс. руб.)</t>
  </si>
  <si>
    <t xml:space="preserve">Первоначальная (восстановительная) стоимость (тыс. руб.)    </t>
  </si>
  <si>
    <t xml:space="preserve"> износ (%)</t>
  </si>
  <si>
    <t>безвозмездно используемых</t>
  </si>
  <si>
    <t xml:space="preserve">арендуемых  </t>
  </si>
  <si>
    <t>из бюджетных средств</t>
  </si>
  <si>
    <t>из средств  приносящей доход деятельности</t>
  </si>
  <si>
    <t xml:space="preserve"> всего</t>
  </si>
  <si>
    <t>Оплата капитального ремонта объекта недвижимости (тыс. руб.)</t>
  </si>
  <si>
    <t>Оплата текущего ремонта объекта недвижимости (тыс. руб.)</t>
  </si>
  <si>
    <t xml:space="preserve"> Оплата коммунальных услуг (тыс. руб.)</t>
  </si>
  <si>
    <t>всего, в том  числе:</t>
  </si>
  <si>
    <t>из средств  субсидии на иные цели</t>
  </si>
  <si>
    <t>из средств от приносящей доход деятельности</t>
  </si>
  <si>
    <t>из средств субсидии на выполнение муниципального задания</t>
  </si>
  <si>
    <t>из средств субсидии на  иные цели</t>
  </si>
  <si>
    <t xml:space="preserve">из средств субсидии на выполнение муниципального задания </t>
  </si>
  <si>
    <t xml:space="preserve">Кредиторская задолженность, тыс. руб. </t>
  </si>
  <si>
    <t>Дебиторская задолженность, тыс. руб.</t>
  </si>
  <si>
    <t xml:space="preserve"> Списанная задолженность неплатежеспособных дебиторов, тыс. руб.</t>
  </si>
  <si>
    <t>в том числе просроченная</t>
  </si>
  <si>
    <t>в том числе  просроченная</t>
  </si>
  <si>
    <t>в том числе по заработной плате</t>
  </si>
  <si>
    <t>бюджетные инвестиции (предоставляемые в 
соответствии со статьей 79 Бюджетного кодекса РФ)</t>
  </si>
  <si>
    <t>Итого</t>
  </si>
  <si>
    <t>Первоначальная (восстановительная)стоимость (тыс. руб.)</t>
  </si>
  <si>
    <t>Д (тыс. руб.)</t>
  </si>
  <si>
    <t xml:space="preserve"> Движимое (особо ценное движимое) имущество  </t>
  </si>
  <si>
    <t xml:space="preserve">Отношение среднемесячной заработной платы руководителя к среднемесячной заработной плате работника </t>
  </si>
  <si>
    <t>субсидии на  иные цели(предоставляемые в соответствии со статьей 78.1 Бюджетного кодекса РФ)</t>
  </si>
  <si>
    <t>Форма 1</t>
  </si>
  <si>
    <t>Форма 2</t>
  </si>
  <si>
    <t xml:space="preserve">Форма 3 </t>
  </si>
  <si>
    <t>Форма 4</t>
  </si>
  <si>
    <t>Форма 5</t>
  </si>
  <si>
    <t>Форма 6</t>
  </si>
  <si>
    <t>изм.на %</t>
  </si>
  <si>
    <r>
      <t xml:space="preserve">Сведения о финансовом результате деятельности муниципальных учреждений и объеме оказанных ими услуг (работ) за </t>
    </r>
    <r>
      <rPr>
        <u/>
        <sz val="16"/>
        <color theme="1"/>
        <rFont val="Times New Roman"/>
        <family val="1"/>
        <charset val="204"/>
      </rPr>
      <t>2014 год</t>
    </r>
  </si>
  <si>
    <r>
      <t xml:space="preserve">Сведения по численности работающих, объему и структуре затрат на оплату труда муниципальных учреждений за </t>
    </r>
    <r>
      <rPr>
        <u/>
        <sz val="16"/>
        <color theme="1"/>
        <rFont val="Times New Roman"/>
        <family val="1"/>
        <charset val="204"/>
      </rPr>
      <t>2014 год</t>
    </r>
    <r>
      <rPr>
        <sz val="16"/>
        <color theme="1"/>
        <rFont val="Times New Roman"/>
        <family val="1"/>
        <charset val="204"/>
      </rPr>
      <t xml:space="preserve">_ </t>
    </r>
  </si>
  <si>
    <t>-</t>
  </si>
  <si>
    <r>
      <t xml:space="preserve">Сведения об имуществе муниципальных учреждений по состоянию на </t>
    </r>
    <r>
      <rPr>
        <u/>
        <sz val="16"/>
        <color theme="1"/>
        <rFont val="Times New Roman"/>
        <family val="1"/>
        <charset val="204"/>
      </rPr>
      <t>2014 год</t>
    </r>
  </si>
  <si>
    <r>
      <t xml:space="preserve">Первоначальная (восстановительная) стоимость (тыс.руб.)  </t>
    </r>
    <r>
      <rPr>
        <sz val="18"/>
        <color theme="1"/>
        <rFont val="Times New Roman"/>
        <family val="1"/>
        <charset val="204"/>
      </rPr>
      <t/>
    </r>
  </si>
  <si>
    <r>
      <t xml:space="preserve">Сведения о затратах муниципальных учреждений на содержание объектов недвижимого имущества и коммунальные услуги за </t>
    </r>
    <r>
      <rPr>
        <u/>
        <sz val="16"/>
        <color theme="1"/>
        <rFont val="Times New Roman"/>
        <family val="1"/>
        <charset val="204"/>
      </rPr>
      <t>2014 год</t>
    </r>
    <r>
      <rPr>
        <sz val="16"/>
        <color theme="1"/>
        <rFont val="Times New Roman"/>
        <family val="1"/>
        <charset val="204"/>
      </rPr>
      <t xml:space="preserve"> </t>
    </r>
  </si>
  <si>
    <r>
      <t xml:space="preserve">Сведения о кредиторской, дебиторской задолженности муниципальных учреждений на </t>
    </r>
    <r>
      <rPr>
        <u/>
        <sz val="16"/>
        <color theme="1"/>
        <rFont val="Times New Roman"/>
        <family val="1"/>
        <charset val="204"/>
      </rPr>
      <t>2014 год</t>
    </r>
    <r>
      <rPr>
        <sz val="16"/>
        <color theme="1"/>
        <rFont val="Times New Roman"/>
        <family val="1"/>
        <charset val="204"/>
      </rPr>
      <t xml:space="preserve"> </t>
    </r>
  </si>
  <si>
    <t>Муниципальное бюджетное учреждение "Межпоселенческая центральная библиотека Томского района" (МБУ "МЦБТР")</t>
  </si>
  <si>
    <t>Муниципальное бюджетное образовательное учреждение дополнительного образования детей "Детская школа искусств д.Кисловка"</t>
  </si>
  <si>
    <t>Муниципальное бюджетное образовательное учреждение дополнительного образования детей "Детская школа искусств п.Зональная Станция"</t>
  </si>
  <si>
    <t>Муниципальное бюджетное образовательное учреждение дополнительного образования детей "Детская школа искусств п.Мирный"</t>
  </si>
  <si>
    <t>Муниципальное бюджетное образовательное учреждение дополнительного образования детей "Детская школа искусств п.Молодежный"</t>
  </si>
  <si>
    <t>МАУ "ЦФКиС"</t>
  </si>
  <si>
    <t>Муниципальное бюджетное учреждение "Межпоселенческая центральная библиотека Томского района"                                   (МБУ "МЦБТР")</t>
  </si>
  <si>
    <t>1625- зарегистрированных пользователей, 21518- посещений</t>
  </si>
  <si>
    <t>ООО "Газпром трансгаз Томск"</t>
  </si>
  <si>
    <r>
      <t xml:space="preserve">Сведения по объему и структуре финансирования муниципальных учреждений за </t>
    </r>
    <r>
      <rPr>
        <u/>
        <sz val="16"/>
        <color theme="1"/>
        <rFont val="Times New Roman"/>
        <family val="1"/>
        <charset val="204"/>
      </rPr>
      <t>2014год</t>
    </r>
    <r>
      <rPr>
        <sz val="16"/>
        <color theme="1"/>
        <rFont val="Times New Roman"/>
        <family val="1"/>
        <charset val="204"/>
      </rPr>
      <t>_</t>
    </r>
  </si>
  <si>
    <t xml:space="preserve">в том числе от сдачи в аренду имущества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</si>
</sst>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-* #,##0.00000_р_._-;\-* #,##0.00000_р_._-;_-* &quot;-&quot;??_р_._-;_-@_-"/>
    <numFmt numFmtId="165" formatCode="_-* #,##0.00000_р_._-;\-* #,##0.00000_р_._-;_-* &quot;-&quot;?????_р_._-;_-@_-"/>
    <numFmt numFmtId="166" formatCode="_-* #,##0.0000_р_._-;\-* #,##0.0000_р_._-;_-* &quot;-&quot;????_р_._-;_-@_-"/>
    <numFmt numFmtId="167" formatCode="0.00;[Red]0.0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0" xfId="0" applyFont="1"/>
    <xf numFmtId="2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Border="1"/>
    <xf numFmtId="0" fontId="5" fillId="0" borderId="0" xfId="0" applyFont="1"/>
    <xf numFmtId="0" fontId="5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43" fontId="4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43" fontId="2" fillId="0" borderId="1" xfId="1" applyNumberFormat="1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justify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43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6" fontId="2" fillId="0" borderId="0" xfId="0" applyNumberFormat="1" applyFont="1"/>
    <xf numFmtId="0" fontId="6" fillId="0" borderId="0" xfId="0" applyFont="1" applyAlignment="1">
      <alignment horizontal="right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16" fillId="0" borderId="1" xfId="1" applyNumberFormat="1" applyFont="1" applyBorder="1" applyAlignment="1">
      <alignment horizontal="center" vertical="center" wrapText="1"/>
    </xf>
    <xf numFmtId="43" fontId="16" fillId="0" borderId="1" xfId="1" applyNumberFormat="1" applyFont="1" applyFill="1" applyBorder="1" applyAlignment="1">
      <alignment horizontal="center" vertical="center" wrapText="1"/>
    </xf>
    <xf numFmtId="43" fontId="17" fillId="0" borderId="1" xfId="0" applyNumberFormat="1" applyFont="1" applyBorder="1" applyAlignment="1">
      <alignment horizontal="justify" vertical="center" wrapText="1"/>
    </xf>
    <xf numFmtId="165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1" fillId="0" borderId="0" xfId="1" applyNumberFormat="1" applyFont="1" applyBorder="1" applyAlignment="1">
      <alignment horizontal="center" vertical="center" wrapText="1"/>
    </xf>
    <xf numFmtId="164" fontId="13" fillId="0" borderId="0" xfId="1" applyNumberFormat="1" applyFont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3" fontId="2" fillId="2" borderId="1" xfId="0" applyNumberFormat="1" applyFont="1" applyFill="1" applyBorder="1" applyAlignment="1">
      <alignment horizontal="center" vertical="center" wrapText="1"/>
    </xf>
    <xf numFmtId="43" fontId="2" fillId="2" borderId="1" xfId="1" applyNumberFormat="1" applyFont="1" applyFill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4" fillId="0" borderId="1" xfId="1" applyNumberFormat="1" applyFont="1" applyBorder="1" applyAlignment="1">
      <alignment horizontal="center" vertical="center" wrapText="1"/>
    </xf>
    <xf numFmtId="43" fontId="4" fillId="0" borderId="1" xfId="1" applyNumberFormat="1" applyFont="1" applyBorder="1" applyAlignment="1">
      <alignment horizontal="center" vertical="center"/>
    </xf>
    <xf numFmtId="43" fontId="16" fillId="2" borderId="1" xfId="0" applyNumberFormat="1" applyFont="1" applyFill="1" applyBorder="1" applyAlignment="1">
      <alignment horizontal="center" vertical="center" wrapText="1"/>
    </xf>
    <xf numFmtId="43" fontId="16" fillId="0" borderId="1" xfId="0" applyNumberFormat="1" applyFont="1" applyBorder="1" applyAlignment="1">
      <alignment horizontal="center" vertical="center" wrapText="1"/>
    </xf>
    <xf numFmtId="43" fontId="16" fillId="2" borderId="1" xfId="1" applyNumberFormat="1" applyFont="1" applyFill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3" fontId="4" fillId="2" borderId="1" xfId="1" applyNumberFormat="1" applyFont="1" applyFill="1" applyBorder="1" applyAlignment="1">
      <alignment horizontal="center" vertical="center"/>
    </xf>
    <xf numFmtId="43" fontId="5" fillId="0" borderId="1" xfId="1" applyNumberFormat="1" applyFont="1" applyBorder="1" applyAlignment="1">
      <alignment horizontal="center" vertical="center" wrapText="1"/>
    </xf>
    <xf numFmtId="43" fontId="5" fillId="0" borderId="1" xfId="1" applyNumberFormat="1" applyFont="1" applyFill="1" applyBorder="1" applyAlignment="1">
      <alignment horizontal="center" vertical="center" wrapText="1"/>
    </xf>
    <xf numFmtId="43" fontId="18" fillId="0" borderId="1" xfId="1" applyNumberFormat="1" applyFont="1" applyBorder="1" applyAlignment="1">
      <alignment horizontal="center" vertical="center" wrapText="1"/>
    </xf>
    <xf numFmtId="43" fontId="7" fillId="0" borderId="1" xfId="1" applyNumberFormat="1" applyFont="1" applyBorder="1" applyAlignment="1">
      <alignment horizontal="center" vertical="center" wrapText="1"/>
    </xf>
    <xf numFmtId="43" fontId="3" fillId="0" borderId="1" xfId="1" applyNumberFormat="1" applyFont="1" applyBorder="1" applyAlignment="1">
      <alignment horizontal="center" vertical="center" wrapText="1"/>
    </xf>
    <xf numFmtId="43" fontId="3" fillId="0" borderId="1" xfId="1" applyNumberFormat="1" applyFont="1" applyBorder="1" applyAlignment="1">
      <alignment vertical="center" wrapText="1"/>
    </xf>
    <xf numFmtId="43" fontId="3" fillId="0" borderId="1" xfId="1" applyNumberFormat="1" applyFont="1" applyBorder="1" applyAlignment="1">
      <alignment horizontal="justify" vertical="center" wrapText="1"/>
    </xf>
    <xf numFmtId="43" fontId="3" fillId="0" borderId="1" xfId="1" applyNumberFormat="1" applyFont="1" applyFill="1" applyBorder="1" applyAlignment="1">
      <alignment horizontal="center" vertical="center" wrapText="1"/>
    </xf>
    <xf numFmtId="43" fontId="17" fillId="0" borderId="1" xfId="1" applyNumberFormat="1" applyFont="1" applyBorder="1" applyAlignment="1">
      <alignment horizontal="center" vertical="center" wrapText="1"/>
    </xf>
    <xf numFmtId="43" fontId="17" fillId="0" borderId="1" xfId="1" applyNumberFormat="1" applyFont="1" applyBorder="1" applyAlignment="1">
      <alignment vertical="center" wrapText="1"/>
    </xf>
    <xf numFmtId="43" fontId="17" fillId="0" borderId="1" xfId="1" applyNumberFormat="1" applyFont="1" applyBorder="1" applyAlignment="1">
      <alignment horizontal="justify" vertical="center" wrapText="1"/>
    </xf>
    <xf numFmtId="43" fontId="16" fillId="0" borderId="1" xfId="1" applyNumberFormat="1" applyFont="1" applyBorder="1" applyAlignment="1">
      <alignment vertical="center" wrapText="1"/>
    </xf>
    <xf numFmtId="43" fontId="4" fillId="0" borderId="1" xfId="1" applyNumberFormat="1" applyFont="1" applyBorder="1"/>
    <xf numFmtId="43" fontId="4" fillId="0" borderId="1" xfId="0" applyNumberFormat="1" applyFon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/>
    </xf>
    <xf numFmtId="43" fontId="4" fillId="0" borderId="1" xfId="0" applyNumberFormat="1" applyFont="1" applyBorder="1"/>
    <xf numFmtId="2" fontId="2" fillId="0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2" fontId="16" fillId="2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43" fontId="2" fillId="3" borderId="1" xfId="1" applyNumberFormat="1" applyFont="1" applyFill="1" applyBorder="1" applyAlignment="1">
      <alignment horizontal="center" vertical="center" wrapText="1"/>
    </xf>
    <xf numFmtId="43" fontId="4" fillId="3" borderId="1" xfId="1" applyNumberFormat="1" applyFont="1" applyFill="1" applyBorder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10" fontId="2" fillId="3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T626"/>
  <sheetViews>
    <sheetView view="pageBreakPreview" topLeftCell="B1" zoomScale="60" zoomScaleNormal="60" workbookViewId="0">
      <pane ySplit="7" topLeftCell="A8" activePane="bottomLeft" state="frozen"/>
      <selection pane="bottomLeft" activeCell="E10" sqref="E10"/>
    </sheetView>
  </sheetViews>
  <sheetFormatPr defaultColWidth="9.140625" defaultRowHeight="15" x14ac:dyDescent="0.25"/>
  <cols>
    <col min="1" max="1" width="3.28515625" style="2" bestFit="1" customWidth="1"/>
    <col min="2" max="2" width="36.85546875" style="42" customWidth="1"/>
    <col min="3" max="3" width="8.85546875" style="42" hidden="1" customWidth="1"/>
    <col min="4" max="4" width="20.7109375" style="2" bestFit="1" customWidth="1"/>
    <col min="5" max="5" width="19" style="2" bestFit="1" customWidth="1"/>
    <col min="6" max="6" width="18.140625" style="2" customWidth="1"/>
    <col min="7" max="7" width="18" style="2" customWidth="1"/>
    <col min="8" max="9" width="19" style="2" bestFit="1" customWidth="1"/>
    <col min="10" max="10" width="20.5703125" style="2" customWidth="1"/>
    <col min="11" max="11" width="17.7109375" style="2" customWidth="1"/>
    <col min="12" max="12" width="16.7109375" style="2" bestFit="1" customWidth="1"/>
    <col min="13" max="13" width="21.7109375" style="2" customWidth="1"/>
    <col min="14" max="14" width="13" style="2" customWidth="1"/>
    <col min="15" max="15" width="11.7109375" style="2" customWidth="1"/>
    <col min="16" max="16" width="11.85546875" style="2" customWidth="1"/>
    <col min="17" max="17" width="19.5703125" style="2" customWidth="1"/>
    <col min="18" max="18" width="20.85546875" style="2" bestFit="1" customWidth="1"/>
    <col min="19" max="19" width="18.5703125" style="2" customWidth="1"/>
    <col min="20" max="20" width="12" style="2" bestFit="1" customWidth="1"/>
    <col min="21" max="16384" width="9.140625" style="2"/>
  </cols>
  <sheetData>
    <row r="1" spans="1:20" ht="15.75" x14ac:dyDescent="0.25">
      <c r="Q1" s="108" t="s">
        <v>137</v>
      </c>
      <c r="R1" s="108"/>
      <c r="S1" s="108"/>
    </row>
    <row r="2" spans="1:20" ht="23.25" customHeight="1" x14ac:dyDescent="0.25">
      <c r="F2" s="101" t="s">
        <v>160</v>
      </c>
      <c r="G2" s="101"/>
      <c r="H2" s="101"/>
      <c r="I2" s="101"/>
      <c r="J2" s="101"/>
      <c r="K2" s="101"/>
      <c r="L2" s="101"/>
      <c r="M2" s="101"/>
    </row>
    <row r="3" spans="1:20" ht="14.45" thickBot="1" x14ac:dyDescent="0.35"/>
    <row r="4" spans="1:20" ht="20.45" customHeight="1" thickBot="1" x14ac:dyDescent="0.3">
      <c r="A4" s="105" t="s">
        <v>1</v>
      </c>
      <c r="B4" s="102" t="s">
        <v>7</v>
      </c>
      <c r="C4" s="57"/>
      <c r="D4" s="112" t="s">
        <v>2</v>
      </c>
      <c r="E4" s="113"/>
      <c r="F4" s="113"/>
      <c r="G4" s="113"/>
      <c r="H4" s="113"/>
      <c r="I4" s="114"/>
      <c r="J4" s="109" t="s">
        <v>3</v>
      </c>
      <c r="K4" s="110"/>
      <c r="L4" s="110"/>
      <c r="M4" s="110"/>
      <c r="N4" s="110"/>
      <c r="O4" s="110"/>
      <c r="P4" s="111"/>
      <c r="Q4" s="123" t="s">
        <v>4</v>
      </c>
      <c r="R4" s="120"/>
      <c r="S4" s="126" t="s">
        <v>6</v>
      </c>
    </row>
    <row r="5" spans="1:20" x14ac:dyDescent="0.25">
      <c r="A5" s="106"/>
      <c r="B5" s="103"/>
      <c r="C5" s="54"/>
      <c r="D5" s="103" t="s">
        <v>11</v>
      </c>
      <c r="E5" s="115"/>
      <c r="F5" s="103" t="s">
        <v>130</v>
      </c>
      <c r="G5" s="115"/>
      <c r="H5" s="103" t="s">
        <v>8</v>
      </c>
      <c r="I5" s="115"/>
      <c r="J5" s="103" t="s">
        <v>9</v>
      </c>
      <c r="K5" s="115"/>
      <c r="L5" s="117" t="s">
        <v>5</v>
      </c>
      <c r="M5" s="117"/>
      <c r="N5" s="117"/>
      <c r="O5" s="102" t="s">
        <v>10</v>
      </c>
      <c r="P5" s="120"/>
      <c r="Q5" s="124"/>
      <c r="R5" s="115"/>
      <c r="S5" s="127"/>
    </row>
    <row r="6" spans="1:20" ht="56.25" customHeight="1" x14ac:dyDescent="0.25">
      <c r="A6" s="106"/>
      <c r="B6" s="103"/>
      <c r="C6" s="54"/>
      <c r="D6" s="104"/>
      <c r="E6" s="116"/>
      <c r="F6" s="104"/>
      <c r="G6" s="116"/>
      <c r="H6" s="104"/>
      <c r="I6" s="116"/>
      <c r="J6" s="104"/>
      <c r="K6" s="116"/>
      <c r="L6" s="121" t="s">
        <v>13</v>
      </c>
      <c r="M6" s="122"/>
      <c r="N6" s="118" t="s">
        <v>12</v>
      </c>
      <c r="O6" s="104"/>
      <c r="P6" s="116"/>
      <c r="Q6" s="125"/>
      <c r="R6" s="116"/>
      <c r="S6" s="127"/>
    </row>
    <row r="7" spans="1:20" ht="34.5" customHeight="1" x14ac:dyDescent="0.25">
      <c r="A7" s="107"/>
      <c r="B7" s="104"/>
      <c r="C7" s="54"/>
      <c r="D7" s="56" t="s">
        <v>13</v>
      </c>
      <c r="E7" s="56" t="s">
        <v>12</v>
      </c>
      <c r="F7" s="56" t="s">
        <v>13</v>
      </c>
      <c r="G7" s="56" t="s">
        <v>12</v>
      </c>
      <c r="H7" s="56" t="s">
        <v>13</v>
      </c>
      <c r="I7" s="56" t="s">
        <v>12</v>
      </c>
      <c r="J7" s="56" t="s">
        <v>13</v>
      </c>
      <c r="K7" s="56" t="s">
        <v>12</v>
      </c>
      <c r="L7" s="43" t="s">
        <v>0</v>
      </c>
      <c r="M7" s="56" t="s">
        <v>161</v>
      </c>
      <c r="N7" s="119"/>
      <c r="O7" s="56" t="s">
        <v>133</v>
      </c>
      <c r="P7" s="56" t="s">
        <v>12</v>
      </c>
      <c r="Q7" s="56" t="s">
        <v>13</v>
      </c>
      <c r="R7" s="56" t="s">
        <v>12</v>
      </c>
      <c r="S7" s="128"/>
    </row>
    <row r="8" spans="1:20" ht="30" x14ac:dyDescent="0.25">
      <c r="A8" s="5">
        <v>1</v>
      </c>
      <c r="B8" s="55" t="s">
        <v>14</v>
      </c>
      <c r="C8" s="9">
        <f>E8/D8*100</f>
        <v>100</v>
      </c>
      <c r="D8" s="21">
        <v>9632.0901099999992</v>
      </c>
      <c r="E8" s="21">
        <v>9632.0901099999992</v>
      </c>
      <c r="F8" s="21">
        <v>0</v>
      </c>
      <c r="G8" s="21">
        <v>0</v>
      </c>
      <c r="H8" s="21">
        <v>2132.9762000000001</v>
      </c>
      <c r="I8" s="21">
        <v>2132.9762000000001</v>
      </c>
      <c r="J8" s="21">
        <v>2210.3917000000001</v>
      </c>
      <c r="K8" s="21">
        <v>1365.97982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f>D8+F8+H8+J8+L8+O8</f>
        <v>13975.458009999998</v>
      </c>
      <c r="R8" s="21">
        <f>E8+G8+I8+K8+N8+P8</f>
        <v>13131.046129999999</v>
      </c>
      <c r="S8" s="21">
        <f>(J8+L8+O8)/Q8</f>
        <v>0.15816237996768168</v>
      </c>
      <c r="T8" s="44"/>
    </row>
    <row r="9" spans="1:20" ht="30" x14ac:dyDescent="0.25">
      <c r="A9" s="5">
        <v>2</v>
      </c>
      <c r="B9" s="55" t="s">
        <v>15</v>
      </c>
      <c r="C9" s="9">
        <f t="shared" ref="C9:C69" si="0">E9/D9*100</f>
        <v>100</v>
      </c>
      <c r="D9" s="21">
        <v>7183.6</v>
      </c>
      <c r="E9" s="21">
        <v>7183.6</v>
      </c>
      <c r="F9" s="21">
        <v>0</v>
      </c>
      <c r="G9" s="21">
        <v>0</v>
      </c>
      <c r="H9" s="21">
        <v>1629.231</v>
      </c>
      <c r="I9" s="21">
        <v>1629.231</v>
      </c>
      <c r="J9" s="21">
        <v>1171</v>
      </c>
      <c r="K9" s="21">
        <v>1125.7265500000001</v>
      </c>
      <c r="L9" s="21"/>
      <c r="M9" s="21"/>
      <c r="N9" s="21"/>
      <c r="O9" s="21"/>
      <c r="P9" s="21"/>
      <c r="Q9" s="21">
        <f>D9+F9+H9+J9+L9+O9</f>
        <v>9983.8310000000001</v>
      </c>
      <c r="R9" s="21">
        <f>E9+G9+I9+K9+N9+P9</f>
        <v>9938.5575499999995</v>
      </c>
      <c r="S9" s="21">
        <f t="shared" ref="S9:S72" si="1">(J9+L9+O9)/Q9</f>
        <v>0.11728964562801594</v>
      </c>
      <c r="T9" s="44"/>
    </row>
    <row r="10" spans="1:20" ht="30" x14ac:dyDescent="0.25">
      <c r="A10" s="26">
        <v>3</v>
      </c>
      <c r="B10" s="55" t="s">
        <v>16</v>
      </c>
      <c r="C10" s="9">
        <f t="shared" si="0"/>
        <v>100</v>
      </c>
      <c r="D10" s="21">
        <v>9221.25</v>
      </c>
      <c r="E10" s="21">
        <v>9221.25</v>
      </c>
      <c r="F10" s="21">
        <v>0</v>
      </c>
      <c r="G10" s="21">
        <v>0</v>
      </c>
      <c r="H10" s="21">
        <v>5653.0879999999997</v>
      </c>
      <c r="I10" s="21">
        <v>5653.0879999999997</v>
      </c>
      <c r="J10" s="21">
        <v>2140</v>
      </c>
      <c r="K10" s="21">
        <v>1684.9644499999999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f>D10+F10+H10+J10+L10+O10</f>
        <v>17014.338</v>
      </c>
      <c r="R10" s="21">
        <f>E10+G10+I10+K10+N10+P10</f>
        <v>16559.302449999999</v>
      </c>
      <c r="S10" s="21">
        <f t="shared" si="1"/>
        <v>0.12577627175385842</v>
      </c>
      <c r="T10" s="44"/>
    </row>
    <row r="11" spans="1:20" ht="30" x14ac:dyDescent="0.25">
      <c r="A11" s="5">
        <v>4</v>
      </c>
      <c r="B11" s="55" t="s">
        <v>17</v>
      </c>
      <c r="C11" s="9">
        <f t="shared" si="0"/>
        <v>100</v>
      </c>
      <c r="D11" s="21">
        <v>8629.2129999999997</v>
      </c>
      <c r="E11" s="21">
        <v>8629.2129999999997</v>
      </c>
      <c r="F11" s="21">
        <v>0</v>
      </c>
      <c r="G11" s="21">
        <v>0</v>
      </c>
      <c r="H11" s="21">
        <v>1528.91</v>
      </c>
      <c r="I11" s="21">
        <v>1528.91</v>
      </c>
      <c r="J11" s="21">
        <v>1873</v>
      </c>
      <c r="K11" s="21">
        <v>1902.84295</v>
      </c>
      <c r="L11" s="21">
        <v>50</v>
      </c>
      <c r="M11" s="21">
        <v>0</v>
      </c>
      <c r="N11" s="21">
        <v>0</v>
      </c>
      <c r="O11" s="21">
        <v>0</v>
      </c>
      <c r="P11" s="21">
        <v>0</v>
      </c>
      <c r="Q11" s="21">
        <f>D11+F11+H11+J11+L11+O11</f>
        <v>12081.123</v>
      </c>
      <c r="R11" s="21">
        <f>E11+G11+I11+K11+N11+P11</f>
        <v>12060.96595</v>
      </c>
      <c r="S11" s="21">
        <f>(J11+L11+O11)/Q11</f>
        <v>0.15917394434275689</v>
      </c>
      <c r="T11" s="44"/>
    </row>
    <row r="12" spans="1:20" ht="30" x14ac:dyDescent="0.25">
      <c r="A12" s="5">
        <v>5</v>
      </c>
      <c r="B12" s="55" t="s">
        <v>18</v>
      </c>
      <c r="C12" s="9">
        <f t="shared" si="0"/>
        <v>100</v>
      </c>
      <c r="D12" s="21">
        <v>21299.881000000001</v>
      </c>
      <c r="E12" s="21">
        <v>21299.881000000001</v>
      </c>
      <c r="F12" s="21">
        <v>0</v>
      </c>
      <c r="G12" s="21">
        <v>0</v>
      </c>
      <c r="H12" s="21">
        <v>16573.655999999999</v>
      </c>
      <c r="I12" s="21">
        <v>16573.655999999999</v>
      </c>
      <c r="J12" s="21">
        <v>3995.5508399999999</v>
      </c>
      <c r="K12" s="21">
        <v>3128.5421200000001</v>
      </c>
      <c r="L12" s="21">
        <v>142</v>
      </c>
      <c r="M12" s="21">
        <v>0</v>
      </c>
      <c r="N12" s="21">
        <v>140</v>
      </c>
      <c r="O12" s="21"/>
      <c r="P12" s="21"/>
      <c r="Q12" s="21">
        <f>D12+F12+H12+J12+L12+O12</f>
        <v>42011.087839999993</v>
      </c>
      <c r="R12" s="21">
        <f>E12+G12+I12+K12+N12+P12</f>
        <v>41142.079119999995</v>
      </c>
      <c r="S12" s="21">
        <f>(J12+L12+O12)/Q12</f>
        <v>9.8487115014920329E-2</v>
      </c>
    </row>
    <row r="13" spans="1:20" ht="45" x14ac:dyDescent="0.25">
      <c r="A13" s="26">
        <v>6</v>
      </c>
      <c r="B13" s="55" t="s">
        <v>19</v>
      </c>
      <c r="C13" s="9">
        <f t="shared" si="0"/>
        <v>100</v>
      </c>
      <c r="D13" s="21">
        <v>16752.8</v>
      </c>
      <c r="E13" s="21">
        <v>16752.8</v>
      </c>
      <c r="F13" s="21">
        <v>0</v>
      </c>
      <c r="G13" s="21">
        <v>0</v>
      </c>
      <c r="H13" s="21">
        <v>4534.8509999999997</v>
      </c>
      <c r="I13" s="21">
        <v>4534.8509999999997</v>
      </c>
      <c r="J13" s="21">
        <v>3500</v>
      </c>
      <c r="K13" s="21">
        <v>2417.4752600000002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f t="shared" ref="Q13:Q20" si="2">D13+F13+H13+J13+L13+O13</f>
        <v>24787.650999999998</v>
      </c>
      <c r="R13" s="21">
        <f t="shared" ref="R13:R20" si="3">E13+G13+I13+K13+N13+P13</f>
        <v>23705.126259999997</v>
      </c>
      <c r="S13" s="21">
        <f t="shared" si="1"/>
        <v>0.14119934155923045</v>
      </c>
    </row>
    <row r="14" spans="1:20" ht="30" x14ac:dyDescent="0.25">
      <c r="A14" s="5">
        <v>7</v>
      </c>
      <c r="B14" s="55" t="s">
        <v>20</v>
      </c>
      <c r="C14" s="9">
        <f t="shared" si="0"/>
        <v>100</v>
      </c>
      <c r="D14" s="21">
        <v>23893.8</v>
      </c>
      <c r="E14" s="21">
        <v>23893.8</v>
      </c>
      <c r="F14" s="21">
        <v>0</v>
      </c>
      <c r="G14" s="21">
        <v>0</v>
      </c>
      <c r="H14" s="21">
        <v>5320.3737000000001</v>
      </c>
      <c r="I14" s="21">
        <v>5286.3914999999997</v>
      </c>
      <c r="J14" s="21">
        <v>1800</v>
      </c>
      <c r="K14" s="21">
        <v>1070.3361500000001</v>
      </c>
      <c r="L14" s="21">
        <v>255</v>
      </c>
      <c r="M14" s="21">
        <v>0</v>
      </c>
      <c r="N14" s="21">
        <v>139</v>
      </c>
      <c r="O14" s="21">
        <v>0</v>
      </c>
      <c r="P14" s="21">
        <v>0</v>
      </c>
      <c r="Q14" s="21">
        <f>D14+F14+H14+J14+L14+O14</f>
        <v>31269.173699999999</v>
      </c>
      <c r="R14" s="21">
        <f>E14+G14+I14+K14+N14+P14</f>
        <v>30389.52765</v>
      </c>
      <c r="S14" s="21">
        <f t="shared" si="1"/>
        <v>6.5719677140045438E-2</v>
      </c>
    </row>
    <row r="15" spans="1:20" ht="30" x14ac:dyDescent="0.25">
      <c r="A15" s="5">
        <v>8</v>
      </c>
      <c r="B15" s="55" t="s">
        <v>21</v>
      </c>
      <c r="C15" s="9">
        <f t="shared" si="0"/>
        <v>100</v>
      </c>
      <c r="D15" s="21">
        <v>17860.010999999999</v>
      </c>
      <c r="E15" s="21">
        <v>17860.010999999999</v>
      </c>
      <c r="F15" s="21">
        <v>61004.7</v>
      </c>
      <c r="G15" s="21">
        <v>61004.7</v>
      </c>
      <c r="H15" s="21">
        <v>4409.3002500000002</v>
      </c>
      <c r="I15" s="21">
        <v>3189.3002499999998</v>
      </c>
      <c r="J15" s="21">
        <v>860</v>
      </c>
      <c r="K15" s="21">
        <v>494.15750000000003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f>D15+F15+H15+J15+L15+O15</f>
        <v>84134.011249999996</v>
      </c>
      <c r="R15" s="21">
        <f t="shared" si="3"/>
        <v>82548.168749999997</v>
      </c>
      <c r="S15" s="21">
        <f>(J15+L15+O15)/Q15</f>
        <v>1.0221787683990879E-2</v>
      </c>
    </row>
    <row r="16" spans="1:20" ht="30" x14ac:dyDescent="0.25">
      <c r="A16" s="26">
        <v>9</v>
      </c>
      <c r="B16" s="55" t="s">
        <v>22</v>
      </c>
      <c r="C16" s="9">
        <f t="shared" si="0"/>
        <v>100</v>
      </c>
      <c r="D16" s="21">
        <v>16135.5</v>
      </c>
      <c r="E16" s="21">
        <v>16135.5</v>
      </c>
      <c r="F16" s="21">
        <v>0</v>
      </c>
      <c r="G16" s="21">
        <v>0</v>
      </c>
      <c r="H16" s="21">
        <v>2218.39525</v>
      </c>
      <c r="I16" s="21">
        <v>2218.39525</v>
      </c>
      <c r="J16" s="21"/>
      <c r="K16" s="21"/>
      <c r="L16" s="21">
        <v>65</v>
      </c>
      <c r="M16" s="21">
        <v>45</v>
      </c>
      <c r="N16" s="21">
        <v>50.484000000000002</v>
      </c>
      <c r="O16" s="21"/>
      <c r="P16" s="21"/>
      <c r="Q16" s="21">
        <f>D16+F16+H16+J16+L16+O16</f>
        <v>18418.895250000001</v>
      </c>
      <c r="R16" s="21">
        <f>E16+G16+I16+K16+N16+P16</f>
        <v>18404.379250000002</v>
      </c>
      <c r="S16" s="21">
        <f>(J16+L16+O16)/Q16</f>
        <v>3.5289847256175688E-3</v>
      </c>
    </row>
    <row r="17" spans="1:19" ht="30" x14ac:dyDescent="0.25">
      <c r="A17" s="5">
        <v>10</v>
      </c>
      <c r="B17" s="55" t="s">
        <v>23</v>
      </c>
      <c r="C17" s="9">
        <f t="shared" si="0"/>
        <v>100</v>
      </c>
      <c r="D17" s="21">
        <v>16274.6</v>
      </c>
      <c r="E17" s="21">
        <v>16274.6</v>
      </c>
      <c r="F17" s="21">
        <v>77466.3</v>
      </c>
      <c r="G17" s="21">
        <v>77466.3</v>
      </c>
      <c r="H17" s="21">
        <v>4270.3135400000001</v>
      </c>
      <c r="I17" s="21">
        <v>4186.9855399999997</v>
      </c>
      <c r="J17" s="21">
        <v>190</v>
      </c>
      <c r="K17" s="21">
        <v>121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f t="shared" si="2"/>
        <v>98201.213540000012</v>
      </c>
      <c r="R17" s="21">
        <f t="shared" si="3"/>
        <v>98048.885540000003</v>
      </c>
      <c r="S17" s="21">
        <f t="shared" si="1"/>
        <v>1.9348029739225969E-3</v>
      </c>
    </row>
    <row r="18" spans="1:19" ht="30" x14ac:dyDescent="0.25">
      <c r="A18" s="5">
        <v>11</v>
      </c>
      <c r="B18" s="55" t="s">
        <v>24</v>
      </c>
      <c r="C18" s="9">
        <f t="shared" si="0"/>
        <v>100</v>
      </c>
      <c r="D18" s="21">
        <v>17482.3</v>
      </c>
      <c r="E18" s="21">
        <v>17482.3</v>
      </c>
      <c r="F18" s="21">
        <v>0</v>
      </c>
      <c r="G18" s="21">
        <v>0</v>
      </c>
      <c r="H18" s="21">
        <v>11456.803250000001</v>
      </c>
      <c r="I18" s="21">
        <v>6646.4985200000001</v>
      </c>
      <c r="J18" s="21">
        <v>0</v>
      </c>
      <c r="K18" s="21">
        <v>0</v>
      </c>
      <c r="L18" s="21">
        <v>20</v>
      </c>
      <c r="M18" s="21">
        <v>0</v>
      </c>
      <c r="N18" s="21">
        <v>0</v>
      </c>
      <c r="O18" s="21">
        <v>0</v>
      </c>
      <c r="P18" s="21">
        <v>0</v>
      </c>
      <c r="Q18" s="21">
        <f t="shared" si="2"/>
        <v>28959.10325</v>
      </c>
      <c r="R18" s="21">
        <f t="shared" si="3"/>
        <v>24128.79852</v>
      </c>
      <c r="S18" s="21">
        <f>(J18+L18+O18)/Q18</f>
        <v>6.9062912022318926E-4</v>
      </c>
    </row>
    <row r="19" spans="1:19" ht="30" x14ac:dyDescent="0.25">
      <c r="A19" s="26">
        <v>12</v>
      </c>
      <c r="B19" s="55" t="s">
        <v>25</v>
      </c>
      <c r="C19" s="9">
        <f t="shared" si="0"/>
        <v>100</v>
      </c>
      <c r="D19" s="21">
        <v>25110.7</v>
      </c>
      <c r="E19" s="21">
        <v>25110.7</v>
      </c>
      <c r="F19" s="21">
        <v>0</v>
      </c>
      <c r="G19" s="21">
        <v>0</v>
      </c>
      <c r="H19" s="21">
        <v>7486.8844499999996</v>
      </c>
      <c r="I19" s="21">
        <v>7386.4105600000003</v>
      </c>
      <c r="J19" s="21">
        <v>24.287500000000001</v>
      </c>
      <c r="K19" s="21">
        <v>-3.8895</v>
      </c>
      <c r="L19" s="21">
        <v>50</v>
      </c>
      <c r="M19" s="21">
        <v>0</v>
      </c>
      <c r="N19" s="21">
        <v>15</v>
      </c>
      <c r="O19" s="21">
        <v>0</v>
      </c>
      <c r="P19" s="21">
        <v>0</v>
      </c>
      <c r="Q19" s="21">
        <f t="shared" si="2"/>
        <v>32671.871950000001</v>
      </c>
      <c r="R19" s="21">
        <f t="shared" si="3"/>
        <v>32508.22106</v>
      </c>
      <c r="S19" s="21">
        <f>(J19+L19+O19)/Q19</f>
        <v>2.2737448320588193E-3</v>
      </c>
    </row>
    <row r="20" spans="1:19" ht="30" x14ac:dyDescent="0.25">
      <c r="A20" s="5">
        <v>13</v>
      </c>
      <c r="B20" s="55" t="s">
        <v>26</v>
      </c>
      <c r="C20" s="9">
        <f>E20/D20*100</f>
        <v>100</v>
      </c>
      <c r="D20" s="21">
        <v>27438.7</v>
      </c>
      <c r="E20" s="21">
        <v>27438.7</v>
      </c>
      <c r="F20" s="21">
        <v>0</v>
      </c>
      <c r="G20" s="21">
        <v>0</v>
      </c>
      <c r="H20" s="21">
        <v>5028.9359199999999</v>
      </c>
      <c r="I20" s="21">
        <v>5028.9359199999999</v>
      </c>
      <c r="J20" s="21">
        <v>780</v>
      </c>
      <c r="K20" s="21">
        <v>766.72623999999996</v>
      </c>
      <c r="L20" s="21">
        <v>6</v>
      </c>
      <c r="M20" s="21">
        <v>0</v>
      </c>
      <c r="N20" s="21">
        <v>5.0229999999999997</v>
      </c>
      <c r="O20" s="21"/>
      <c r="P20" s="21"/>
      <c r="Q20" s="21">
        <f t="shared" si="2"/>
        <v>33253.635920000001</v>
      </c>
      <c r="R20" s="21">
        <f t="shared" si="3"/>
        <v>33239.385160000005</v>
      </c>
      <c r="S20" s="21">
        <f t="shared" si="1"/>
        <v>2.3636513068553498E-2</v>
      </c>
    </row>
    <row r="21" spans="1:19" ht="30" x14ac:dyDescent="0.25">
      <c r="A21" s="5">
        <v>14</v>
      </c>
      <c r="B21" s="55" t="s">
        <v>27</v>
      </c>
      <c r="C21" s="9">
        <f t="shared" si="0"/>
        <v>100</v>
      </c>
      <c r="D21" s="21">
        <v>9724.4557999999997</v>
      </c>
      <c r="E21" s="21">
        <v>9724.4557999999997</v>
      </c>
      <c r="F21" s="21">
        <v>0</v>
      </c>
      <c r="G21" s="21">
        <v>0</v>
      </c>
      <c r="H21" s="21">
        <v>2731.8762000000002</v>
      </c>
      <c r="I21" s="21">
        <v>2731.8762000000002</v>
      </c>
      <c r="J21" s="21">
        <v>2400</v>
      </c>
      <c r="K21" s="21">
        <v>1853.8101300000001</v>
      </c>
      <c r="L21" s="21">
        <v>100</v>
      </c>
      <c r="M21" s="21">
        <v>0</v>
      </c>
      <c r="N21" s="21">
        <v>7.5</v>
      </c>
      <c r="O21" s="21"/>
      <c r="P21" s="21">
        <v>0</v>
      </c>
      <c r="Q21" s="21">
        <f>D21+F21+H21+J21+L21+O21</f>
        <v>14956.332</v>
      </c>
      <c r="R21" s="21">
        <f>E21+G21+I21+K21+N21+P21</f>
        <v>14317.64213</v>
      </c>
      <c r="S21" s="21">
        <f t="shared" si="1"/>
        <v>0.16715328330502424</v>
      </c>
    </row>
    <row r="22" spans="1:19" ht="45" x14ac:dyDescent="0.25">
      <c r="A22" s="26">
        <v>15</v>
      </c>
      <c r="B22" s="55" t="s">
        <v>28</v>
      </c>
      <c r="C22" s="9">
        <f t="shared" si="0"/>
        <v>100</v>
      </c>
      <c r="D22" s="21">
        <v>8779.2999999999993</v>
      </c>
      <c r="E22" s="21">
        <v>8779.2999999999993</v>
      </c>
      <c r="F22" s="21">
        <v>0</v>
      </c>
      <c r="G22" s="21">
        <v>0</v>
      </c>
      <c r="H22" s="21">
        <v>1975.7154</v>
      </c>
      <c r="I22" s="21">
        <v>1975.7154</v>
      </c>
      <c r="J22" s="21">
        <v>2000</v>
      </c>
      <c r="K22" s="21">
        <v>1529.88742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f>D22+F22+H22+J22+L22+O22</f>
        <v>12755.0154</v>
      </c>
      <c r="R22" s="21">
        <f>E22+G22+I22+K22+N22+P22</f>
        <v>12284.902819999999</v>
      </c>
      <c r="S22" s="21">
        <f>(J22+L22+O22)/Q22</f>
        <v>0.15680106509318678</v>
      </c>
    </row>
    <row r="23" spans="1:19" ht="30" x14ac:dyDescent="0.25">
      <c r="A23" s="5">
        <v>16</v>
      </c>
      <c r="B23" s="55" t="s">
        <v>29</v>
      </c>
      <c r="C23" s="9">
        <f t="shared" si="0"/>
        <v>100</v>
      </c>
      <c r="D23" s="21">
        <v>7382.3475799999997</v>
      </c>
      <c r="E23" s="21">
        <v>7382.3475799999997</v>
      </c>
      <c r="F23" s="21">
        <v>0</v>
      </c>
      <c r="G23" s="21">
        <v>0</v>
      </c>
      <c r="H23" s="21">
        <v>1909.41</v>
      </c>
      <c r="I23" s="21">
        <v>1909.41</v>
      </c>
      <c r="J23" s="21">
        <v>1653.75</v>
      </c>
      <c r="K23" s="21">
        <v>1082.70723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f t="shared" ref="Q23:Q79" si="4">D23+F23+H23+J23+L23+O23</f>
        <v>10945.50758</v>
      </c>
      <c r="R23" s="21">
        <f t="shared" ref="R23:R79" si="5">E23+G23+I23+K23+N23+P23</f>
        <v>10374.464809999999</v>
      </c>
      <c r="S23" s="21">
        <f t="shared" si="1"/>
        <v>0.15108938419829773</v>
      </c>
    </row>
    <row r="24" spans="1:19" ht="30" x14ac:dyDescent="0.25">
      <c r="A24" s="5">
        <v>17</v>
      </c>
      <c r="B24" s="55" t="s">
        <v>30</v>
      </c>
      <c r="C24" s="9">
        <f t="shared" si="0"/>
        <v>100</v>
      </c>
      <c r="D24" s="21">
        <v>3532.4</v>
      </c>
      <c r="E24" s="21">
        <v>3532.4</v>
      </c>
      <c r="F24" s="21">
        <v>0</v>
      </c>
      <c r="G24" s="21">
        <v>0</v>
      </c>
      <c r="H24" s="21">
        <v>11230.409900000001</v>
      </c>
      <c r="I24" s="21">
        <v>11230.409900000001</v>
      </c>
      <c r="J24" s="21">
        <v>670</v>
      </c>
      <c r="K24" s="21">
        <v>490.40665999999999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f t="shared" si="4"/>
        <v>15432.8099</v>
      </c>
      <c r="R24" s="21">
        <f t="shared" si="5"/>
        <v>15253.216560000001</v>
      </c>
      <c r="S24" s="21">
        <f t="shared" si="1"/>
        <v>4.3413999416917586E-2</v>
      </c>
    </row>
    <row r="25" spans="1:19" ht="30" x14ac:dyDescent="0.25">
      <c r="A25" s="26">
        <v>18</v>
      </c>
      <c r="B25" s="55" t="s">
        <v>31</v>
      </c>
      <c r="C25" s="9">
        <f t="shared" si="0"/>
        <v>100</v>
      </c>
      <c r="D25" s="21">
        <v>7665.3</v>
      </c>
      <c r="E25" s="21">
        <v>7665.3</v>
      </c>
      <c r="F25" s="21">
        <v>0</v>
      </c>
      <c r="G25" s="21">
        <v>0</v>
      </c>
      <c r="H25" s="21">
        <v>11155.275</v>
      </c>
      <c r="I25" s="21">
        <v>11155.275</v>
      </c>
      <c r="J25" s="21">
        <v>1489.65265</v>
      </c>
      <c r="K25" s="21">
        <v>1259.4293</v>
      </c>
      <c r="L25" s="21">
        <v>40</v>
      </c>
      <c r="M25" s="21">
        <v>12</v>
      </c>
      <c r="N25" s="21">
        <v>11.85535</v>
      </c>
      <c r="O25" s="21">
        <v>0</v>
      </c>
      <c r="P25" s="21">
        <v>0</v>
      </c>
      <c r="Q25" s="21">
        <f>D25+F25+H25+J25+L25+O25</f>
        <v>20350.227650000001</v>
      </c>
      <c r="R25" s="21">
        <f t="shared" si="5"/>
        <v>20091.859650000002</v>
      </c>
      <c r="S25" s="21">
        <f t="shared" si="1"/>
        <v>7.5166365522205833E-2</v>
      </c>
    </row>
    <row r="26" spans="1:19" ht="30" x14ac:dyDescent="0.25">
      <c r="A26" s="5">
        <v>19</v>
      </c>
      <c r="B26" s="55" t="s">
        <v>32</v>
      </c>
      <c r="C26" s="9">
        <f t="shared" si="0"/>
        <v>100</v>
      </c>
      <c r="D26" s="21">
        <v>6651.7</v>
      </c>
      <c r="E26" s="21">
        <v>6651.7</v>
      </c>
      <c r="F26" s="21">
        <v>0</v>
      </c>
      <c r="G26" s="21">
        <v>0</v>
      </c>
      <c r="H26" s="21">
        <v>2323.4389999999999</v>
      </c>
      <c r="I26" s="21">
        <v>2323.4389999999999</v>
      </c>
      <c r="J26" s="21">
        <v>1191.75</v>
      </c>
      <c r="K26" s="21">
        <v>1089.5860700000001</v>
      </c>
      <c r="L26" s="21">
        <v>93</v>
      </c>
      <c r="M26" s="21">
        <v>0</v>
      </c>
      <c r="N26" s="21">
        <v>92.62</v>
      </c>
      <c r="O26" s="21">
        <v>0</v>
      </c>
      <c r="P26" s="21">
        <v>0</v>
      </c>
      <c r="Q26" s="21">
        <f t="shared" si="4"/>
        <v>10259.888999999999</v>
      </c>
      <c r="R26" s="21">
        <f t="shared" si="5"/>
        <v>10157.345069999999</v>
      </c>
      <c r="S26" s="21">
        <f t="shared" si="1"/>
        <v>0.1252206529719766</v>
      </c>
    </row>
    <row r="27" spans="1:19" ht="30" x14ac:dyDescent="0.25">
      <c r="A27" s="5">
        <v>20</v>
      </c>
      <c r="B27" s="55" t="s">
        <v>33</v>
      </c>
      <c r="C27" s="9">
        <f>E27/D27*100</f>
        <v>100</v>
      </c>
      <c r="D27" s="21">
        <v>3071.2</v>
      </c>
      <c r="E27" s="21">
        <v>3071.2</v>
      </c>
      <c r="F27" s="21">
        <v>0</v>
      </c>
      <c r="G27" s="21">
        <v>0</v>
      </c>
      <c r="H27" s="21">
        <v>529.84900000000005</v>
      </c>
      <c r="I27" s="21">
        <v>529.84900000000005</v>
      </c>
      <c r="J27" s="21">
        <v>400</v>
      </c>
      <c r="K27" s="21">
        <v>382.80167</v>
      </c>
      <c r="L27" s="21">
        <v>0</v>
      </c>
      <c r="M27" s="21">
        <v>0</v>
      </c>
      <c r="N27" s="21">
        <v>0</v>
      </c>
      <c r="O27" s="21"/>
      <c r="P27" s="21"/>
      <c r="Q27" s="21">
        <f t="shared" si="4"/>
        <v>4001.049</v>
      </c>
      <c r="R27" s="21">
        <f t="shared" si="5"/>
        <v>3983.8506699999998</v>
      </c>
      <c r="S27" s="21">
        <f t="shared" si="1"/>
        <v>9.9973781875703091E-2</v>
      </c>
    </row>
    <row r="28" spans="1:19" ht="30" x14ac:dyDescent="0.25">
      <c r="A28" s="26">
        <v>21</v>
      </c>
      <c r="B28" s="55" t="s">
        <v>34</v>
      </c>
      <c r="C28" s="9">
        <f t="shared" si="0"/>
        <v>100</v>
      </c>
      <c r="D28" s="21">
        <v>4693.3188899999996</v>
      </c>
      <c r="E28" s="21">
        <v>4693.3188899999996</v>
      </c>
      <c r="F28" s="21">
        <v>0</v>
      </c>
      <c r="G28" s="21">
        <v>0</v>
      </c>
      <c r="H28" s="21">
        <v>1049.9259999999999</v>
      </c>
      <c r="I28" s="21">
        <v>1049.9259999999999</v>
      </c>
      <c r="J28" s="21">
        <v>883.80097000000001</v>
      </c>
      <c r="K28" s="21">
        <v>818.76228000000003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f t="shared" si="4"/>
        <v>6627.0458600000002</v>
      </c>
      <c r="R28" s="21">
        <f t="shared" si="5"/>
        <v>6562.0071699999999</v>
      </c>
      <c r="S28" s="21">
        <f>(J28+L28+O28)/Q28</f>
        <v>0.13336273637919263</v>
      </c>
    </row>
    <row r="29" spans="1:19" x14ac:dyDescent="0.25">
      <c r="A29" s="5">
        <v>22</v>
      </c>
      <c r="B29" s="55" t="s">
        <v>35</v>
      </c>
      <c r="C29" s="9">
        <f t="shared" si="0"/>
        <v>100</v>
      </c>
      <c r="D29" s="21">
        <v>3830.6</v>
      </c>
      <c r="E29" s="21">
        <v>3830.6</v>
      </c>
      <c r="F29" s="21">
        <v>0</v>
      </c>
      <c r="G29" s="21">
        <v>0</v>
      </c>
      <c r="H29" s="21">
        <v>8145.27</v>
      </c>
      <c r="I29" s="21">
        <v>8145.27</v>
      </c>
      <c r="J29" s="21">
        <v>967.5</v>
      </c>
      <c r="K29" s="21">
        <v>433.21152999999998</v>
      </c>
      <c r="L29" s="21">
        <v>30</v>
      </c>
      <c r="M29" s="21">
        <v>0</v>
      </c>
      <c r="N29" s="21">
        <v>30</v>
      </c>
      <c r="O29" s="21"/>
      <c r="P29" s="21">
        <v>0</v>
      </c>
      <c r="Q29" s="21">
        <f t="shared" si="4"/>
        <v>12973.37</v>
      </c>
      <c r="R29" s="21">
        <f t="shared" si="5"/>
        <v>12439.081530000001</v>
      </c>
      <c r="S29" s="21">
        <f>(J29+L29+O29)/Q29</f>
        <v>7.6888271898512106E-2</v>
      </c>
    </row>
    <row r="30" spans="1:19" x14ac:dyDescent="0.25">
      <c r="A30" s="5">
        <v>23</v>
      </c>
      <c r="B30" s="55" t="s">
        <v>36</v>
      </c>
      <c r="C30" s="9">
        <f t="shared" si="0"/>
        <v>100</v>
      </c>
      <c r="D30" s="21">
        <v>10898.9</v>
      </c>
      <c r="E30" s="21">
        <v>10898.9</v>
      </c>
      <c r="F30" s="21">
        <v>0</v>
      </c>
      <c r="G30" s="21">
        <v>0</v>
      </c>
      <c r="H30" s="21">
        <v>18081</v>
      </c>
      <c r="I30" s="21">
        <v>18081</v>
      </c>
      <c r="J30" s="21">
        <v>2055.5938900000001</v>
      </c>
      <c r="K30" s="21">
        <v>1793.7371599999999</v>
      </c>
      <c r="L30" s="21">
        <v>100</v>
      </c>
      <c r="M30" s="21">
        <v>0</v>
      </c>
      <c r="N30" s="21">
        <v>87.2</v>
      </c>
      <c r="O30" s="21"/>
      <c r="P30" s="21">
        <v>0</v>
      </c>
      <c r="Q30" s="21">
        <f>D30+F30+H30+J30+L30+O30</f>
        <v>31135.493890000002</v>
      </c>
      <c r="R30" s="21">
        <f t="shared" si="5"/>
        <v>30860.837160000003</v>
      </c>
      <c r="S30" s="21">
        <f>(J30+L30+O30)/Q30</f>
        <v>6.9232686580004019E-2</v>
      </c>
    </row>
    <row r="31" spans="1:19" ht="30" x14ac:dyDescent="0.25">
      <c r="A31" s="26">
        <v>24</v>
      </c>
      <c r="B31" s="55" t="s">
        <v>37</v>
      </c>
      <c r="C31" s="9">
        <f t="shared" si="0"/>
        <v>100</v>
      </c>
      <c r="D31" s="21">
        <v>3982.2181399999999</v>
      </c>
      <c r="E31" s="21">
        <v>3982.2181399999999</v>
      </c>
      <c r="F31" s="21">
        <v>0</v>
      </c>
      <c r="G31" s="21">
        <v>0</v>
      </c>
      <c r="H31" s="21">
        <v>861.71299999999997</v>
      </c>
      <c r="I31" s="21">
        <v>861.71299999999997</v>
      </c>
      <c r="J31" s="21">
        <v>500</v>
      </c>
      <c r="K31" s="21">
        <v>486.16093999999998</v>
      </c>
      <c r="L31" s="21">
        <v>5</v>
      </c>
      <c r="M31" s="21">
        <v>5</v>
      </c>
      <c r="N31" s="21">
        <v>3.6920000000000002</v>
      </c>
      <c r="O31" s="21">
        <v>0</v>
      </c>
      <c r="P31" s="21">
        <v>0</v>
      </c>
      <c r="Q31" s="21">
        <f t="shared" si="4"/>
        <v>5348.9311399999997</v>
      </c>
      <c r="R31" s="21">
        <f t="shared" si="5"/>
        <v>5333.7840799999994</v>
      </c>
      <c r="S31" s="21">
        <f t="shared" si="1"/>
        <v>9.4411385524024533E-2</v>
      </c>
    </row>
    <row r="32" spans="1:19" ht="30" x14ac:dyDescent="0.25">
      <c r="A32" s="5">
        <v>25</v>
      </c>
      <c r="B32" s="55" t="s">
        <v>38</v>
      </c>
      <c r="C32" s="9">
        <f t="shared" si="0"/>
        <v>99.726875360469236</v>
      </c>
      <c r="D32" s="21">
        <v>6544.2649300000003</v>
      </c>
      <c r="E32" s="21">
        <v>6526.3909299999996</v>
      </c>
      <c r="F32" s="21">
        <v>0</v>
      </c>
      <c r="G32" s="21">
        <v>0</v>
      </c>
      <c r="H32" s="21">
        <v>16586.919000000002</v>
      </c>
      <c r="I32" s="21">
        <v>16586.919000000002</v>
      </c>
      <c r="J32" s="21">
        <v>1015</v>
      </c>
      <c r="K32" s="21">
        <v>824.43506000000002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f t="shared" si="4"/>
        <v>24146.183930000003</v>
      </c>
      <c r="R32" s="21">
        <f t="shared" si="5"/>
        <v>23937.744990000003</v>
      </c>
      <c r="S32" s="21">
        <f t="shared" si="1"/>
        <v>4.2035627780459793E-2</v>
      </c>
    </row>
    <row r="33" spans="1:19" ht="30" x14ac:dyDescent="0.25">
      <c r="A33" s="5">
        <v>26</v>
      </c>
      <c r="B33" s="55" t="s">
        <v>39</v>
      </c>
      <c r="C33" s="9">
        <f t="shared" si="0"/>
        <v>100</v>
      </c>
      <c r="D33" s="21">
        <v>4868.8</v>
      </c>
      <c r="E33" s="21">
        <v>4868.8</v>
      </c>
      <c r="F33" s="21">
        <v>0</v>
      </c>
      <c r="G33" s="21">
        <v>0</v>
      </c>
      <c r="H33" s="21">
        <v>1894.69</v>
      </c>
      <c r="I33" s="21">
        <v>1894.69</v>
      </c>
      <c r="J33" s="21"/>
      <c r="K33" s="21"/>
      <c r="L33" s="21">
        <v>630</v>
      </c>
      <c r="M33" s="21"/>
      <c r="N33" s="21">
        <v>579.70393000000001</v>
      </c>
      <c r="O33" s="21">
        <v>0</v>
      </c>
      <c r="P33" s="21">
        <v>0</v>
      </c>
      <c r="Q33" s="21">
        <f t="shared" si="4"/>
        <v>7393.49</v>
      </c>
      <c r="R33" s="21">
        <f t="shared" si="5"/>
        <v>7343.1939299999995</v>
      </c>
      <c r="S33" s="21">
        <f>(J33+L33+O33)/Q33</f>
        <v>8.5210096990731038E-2</v>
      </c>
    </row>
    <row r="34" spans="1:19" ht="30" x14ac:dyDescent="0.25">
      <c r="A34" s="26">
        <v>27</v>
      </c>
      <c r="B34" s="55" t="s">
        <v>40</v>
      </c>
      <c r="C34" s="9">
        <f t="shared" si="0"/>
        <v>100</v>
      </c>
      <c r="D34" s="21">
        <v>6928.6</v>
      </c>
      <c r="E34" s="21">
        <v>6928.6</v>
      </c>
      <c r="F34" s="21">
        <v>0</v>
      </c>
      <c r="G34" s="21">
        <v>0</v>
      </c>
      <c r="H34" s="21">
        <v>13804.3922</v>
      </c>
      <c r="I34" s="21">
        <v>13804.3922</v>
      </c>
      <c r="J34" s="21">
        <v>1387.5</v>
      </c>
      <c r="K34" s="21">
        <v>1133.1821600000001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f t="shared" si="4"/>
        <v>22120.492200000001</v>
      </c>
      <c r="R34" s="21">
        <f t="shared" si="5"/>
        <v>21866.174360000001</v>
      </c>
      <c r="S34" s="21">
        <f t="shared" si="1"/>
        <v>6.2724644074601557E-2</v>
      </c>
    </row>
    <row r="35" spans="1:19" ht="30" x14ac:dyDescent="0.25">
      <c r="A35" s="5">
        <v>28</v>
      </c>
      <c r="B35" s="55" t="s">
        <v>41</v>
      </c>
      <c r="C35" s="9">
        <f>E35/D35*100</f>
        <v>100</v>
      </c>
      <c r="D35" s="21">
        <v>9795.4140800000005</v>
      </c>
      <c r="E35" s="21">
        <v>9795.4140800000005</v>
      </c>
      <c r="F35" s="21">
        <v>0</v>
      </c>
      <c r="G35" s="21">
        <v>0</v>
      </c>
      <c r="H35" s="21">
        <v>1893.6931999999999</v>
      </c>
      <c r="I35" s="21">
        <v>1893.6931999999999</v>
      </c>
      <c r="J35" s="21">
        <v>1329.18</v>
      </c>
      <c r="K35" s="21">
        <v>1310.4771699999999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f t="shared" si="4"/>
        <v>13018.28728</v>
      </c>
      <c r="R35" s="21">
        <f t="shared" si="5"/>
        <v>12999.58445</v>
      </c>
      <c r="S35" s="21">
        <f t="shared" si="1"/>
        <v>0.10210098851037185</v>
      </c>
    </row>
    <row r="36" spans="1:19" ht="30" x14ac:dyDescent="0.25">
      <c r="A36" s="5">
        <v>29</v>
      </c>
      <c r="B36" s="55" t="s">
        <v>42</v>
      </c>
      <c r="C36" s="9">
        <f t="shared" si="0"/>
        <v>100</v>
      </c>
      <c r="D36" s="21">
        <v>7212.7897899999998</v>
      </c>
      <c r="E36" s="21">
        <v>7212.7897899999998</v>
      </c>
      <c r="F36" s="21">
        <v>0</v>
      </c>
      <c r="G36" s="21">
        <v>0</v>
      </c>
      <c r="H36" s="21">
        <v>1789.9749999999999</v>
      </c>
      <c r="I36" s="21">
        <v>1789.9749999999999</v>
      </c>
      <c r="J36" s="21">
        <v>1195.5749800000001</v>
      </c>
      <c r="K36" s="21">
        <v>1115.1629499999999</v>
      </c>
      <c r="L36" s="21">
        <v>50</v>
      </c>
      <c r="M36" s="21">
        <v>0</v>
      </c>
      <c r="N36" s="21">
        <v>10</v>
      </c>
      <c r="O36" s="21">
        <v>0</v>
      </c>
      <c r="P36" s="21">
        <v>0</v>
      </c>
      <c r="Q36" s="21">
        <f>D36+F36+H36+J36+L36+O36</f>
        <v>10248.339769999999</v>
      </c>
      <c r="R36" s="21">
        <f t="shared" si="5"/>
        <v>10127.927739999999</v>
      </c>
      <c r="S36" s="21">
        <f t="shared" si="1"/>
        <v>0.12153919639219771</v>
      </c>
    </row>
    <row r="37" spans="1:19" ht="30" x14ac:dyDescent="0.25">
      <c r="A37" s="26">
        <v>30</v>
      </c>
      <c r="B37" s="55" t="s">
        <v>43</v>
      </c>
      <c r="C37" s="9">
        <f t="shared" si="0"/>
        <v>100</v>
      </c>
      <c r="D37" s="21">
        <v>6712.9</v>
      </c>
      <c r="E37" s="21">
        <v>6712.9</v>
      </c>
      <c r="F37" s="21">
        <v>0</v>
      </c>
      <c r="G37" s="21">
        <v>0</v>
      </c>
      <c r="H37" s="21">
        <v>2282.70813</v>
      </c>
      <c r="I37" s="21">
        <v>2282.70813</v>
      </c>
      <c r="J37" s="21">
        <v>198</v>
      </c>
      <c r="K37" s="21">
        <v>108.12</v>
      </c>
      <c r="L37" s="21">
        <v>0</v>
      </c>
      <c r="M37" s="21">
        <v>0</v>
      </c>
      <c r="N37" s="21">
        <v>0</v>
      </c>
      <c r="O37" s="21"/>
      <c r="P37" s="21"/>
      <c r="Q37" s="21">
        <f>D37+F37+H37+J37+L37+O37</f>
        <v>9193.6081300000005</v>
      </c>
      <c r="R37" s="21">
        <f t="shared" si="5"/>
        <v>9103.7281300000013</v>
      </c>
      <c r="S37" s="21">
        <f t="shared" si="1"/>
        <v>2.1536702152215835E-2</v>
      </c>
    </row>
    <row r="38" spans="1:19" ht="30" x14ac:dyDescent="0.25">
      <c r="A38" s="5">
        <v>31</v>
      </c>
      <c r="B38" s="55" t="s">
        <v>44</v>
      </c>
      <c r="C38" s="9">
        <f t="shared" si="0"/>
        <v>100</v>
      </c>
      <c r="D38" s="21">
        <v>19465.780999999999</v>
      </c>
      <c r="E38" s="21">
        <v>19465.780999999999</v>
      </c>
      <c r="F38" s="21">
        <v>0</v>
      </c>
      <c r="G38" s="21">
        <v>0</v>
      </c>
      <c r="H38" s="21">
        <v>12682.40416</v>
      </c>
      <c r="I38" s="21">
        <v>12682.40416</v>
      </c>
      <c r="J38" s="21">
        <v>635</v>
      </c>
      <c r="K38" s="21">
        <v>573.33249999999998</v>
      </c>
      <c r="L38" s="21">
        <v>220</v>
      </c>
      <c r="M38" s="21"/>
      <c r="N38" s="21">
        <v>220</v>
      </c>
      <c r="O38" s="21"/>
      <c r="P38" s="21"/>
      <c r="Q38" s="21">
        <f t="shared" si="4"/>
        <v>33003.185160000001</v>
      </c>
      <c r="R38" s="21">
        <f t="shared" si="5"/>
        <v>32941.517659999998</v>
      </c>
      <c r="S38" s="21">
        <f t="shared" si="1"/>
        <v>2.5906590404985018E-2</v>
      </c>
    </row>
    <row r="39" spans="1:19" ht="30" x14ac:dyDescent="0.25">
      <c r="A39" s="5">
        <v>32</v>
      </c>
      <c r="B39" s="55" t="s">
        <v>45</v>
      </c>
      <c r="C39" s="9">
        <f t="shared" si="0"/>
        <v>100</v>
      </c>
      <c r="D39" s="21">
        <v>8997.9</v>
      </c>
      <c r="E39" s="21">
        <v>8997.9</v>
      </c>
      <c r="F39" s="21">
        <v>0</v>
      </c>
      <c r="G39" s="21">
        <v>0</v>
      </c>
      <c r="H39" s="21">
        <v>1762.6839</v>
      </c>
      <c r="I39" s="21">
        <v>1761.80684</v>
      </c>
      <c r="J39" s="21">
        <v>0</v>
      </c>
      <c r="K39" s="21">
        <v>0</v>
      </c>
      <c r="L39" s="21">
        <v>40</v>
      </c>
      <c r="M39" s="21">
        <v>0</v>
      </c>
      <c r="N39" s="21">
        <v>0</v>
      </c>
      <c r="O39" s="21"/>
      <c r="P39" s="21"/>
      <c r="Q39" s="21">
        <f t="shared" si="4"/>
        <v>10800.5839</v>
      </c>
      <c r="R39" s="21">
        <f t="shared" si="5"/>
        <v>10759.706839999999</v>
      </c>
      <c r="S39" s="21">
        <f t="shared" si="1"/>
        <v>3.7035034744741903E-3</v>
      </c>
    </row>
    <row r="40" spans="1:19" ht="30" x14ac:dyDescent="0.25">
      <c r="A40" s="26">
        <v>33</v>
      </c>
      <c r="B40" s="55" t="s">
        <v>46</v>
      </c>
      <c r="C40" s="9">
        <f t="shared" si="0"/>
        <v>100</v>
      </c>
      <c r="D40" s="21">
        <v>7741.9</v>
      </c>
      <c r="E40" s="21">
        <v>7741.9</v>
      </c>
      <c r="F40" s="21">
        <v>0</v>
      </c>
      <c r="G40" s="21">
        <v>0</v>
      </c>
      <c r="H40" s="21">
        <v>2211.89525</v>
      </c>
      <c r="I40" s="21">
        <v>2153.85925</v>
      </c>
      <c r="J40" s="21">
        <v>186.98276999999999</v>
      </c>
      <c r="K40" s="21">
        <v>177.1225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f t="shared" si="4"/>
        <v>10140.77802</v>
      </c>
      <c r="R40" s="21">
        <f t="shared" si="5"/>
        <v>10072.881749999999</v>
      </c>
      <c r="S40" s="21">
        <f>(J40+L40+O40)/Q40</f>
        <v>1.8438700623485297E-2</v>
      </c>
    </row>
    <row r="41" spans="1:19" ht="30" x14ac:dyDescent="0.25">
      <c r="A41" s="5">
        <v>34</v>
      </c>
      <c r="B41" s="55" t="s">
        <v>47</v>
      </c>
      <c r="C41" s="9">
        <f t="shared" si="0"/>
        <v>100</v>
      </c>
      <c r="D41" s="21">
        <v>6857.3</v>
      </c>
      <c r="E41" s="21">
        <v>6857.3</v>
      </c>
      <c r="F41" s="21">
        <v>0</v>
      </c>
      <c r="G41" s="21">
        <v>0</v>
      </c>
      <c r="H41" s="21">
        <v>424.15</v>
      </c>
      <c r="I41" s="21">
        <v>424.15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f t="shared" si="4"/>
        <v>7281.45</v>
      </c>
      <c r="R41" s="21">
        <f t="shared" si="5"/>
        <v>7281.45</v>
      </c>
      <c r="S41" s="21">
        <f>(J41+L41+O41)/Q41</f>
        <v>0</v>
      </c>
    </row>
    <row r="42" spans="1:19" ht="30" x14ac:dyDescent="0.25">
      <c r="A42" s="5">
        <v>35</v>
      </c>
      <c r="B42" s="55" t="s">
        <v>48</v>
      </c>
      <c r="C42" s="9">
        <f t="shared" si="0"/>
        <v>100</v>
      </c>
      <c r="D42" s="21">
        <v>22163.599999999999</v>
      </c>
      <c r="E42" s="21">
        <v>22163.599999999999</v>
      </c>
      <c r="F42" s="21">
        <v>0</v>
      </c>
      <c r="G42" s="21">
        <v>0</v>
      </c>
      <c r="H42" s="21">
        <v>5397.5582000000004</v>
      </c>
      <c r="I42" s="21">
        <v>5397.5582000000004</v>
      </c>
      <c r="J42" s="21">
        <v>716.13000999999997</v>
      </c>
      <c r="K42" s="21">
        <v>569.46199999999999</v>
      </c>
      <c r="L42" s="21">
        <v>365</v>
      </c>
      <c r="M42" s="21">
        <v>0</v>
      </c>
      <c r="N42" s="21">
        <v>68.400000000000006</v>
      </c>
      <c r="O42" s="21">
        <v>0</v>
      </c>
      <c r="P42" s="21">
        <v>0</v>
      </c>
      <c r="Q42" s="21">
        <f t="shared" si="4"/>
        <v>28642.288209999999</v>
      </c>
      <c r="R42" s="21">
        <f t="shared" si="5"/>
        <v>28199.020199999999</v>
      </c>
      <c r="S42" s="21">
        <f t="shared" si="1"/>
        <v>3.7745937128812933E-2</v>
      </c>
    </row>
    <row r="43" spans="1:19" ht="30" x14ac:dyDescent="0.25">
      <c r="A43" s="26">
        <v>36</v>
      </c>
      <c r="B43" s="55" t="s">
        <v>49</v>
      </c>
      <c r="C43" s="9">
        <f t="shared" si="0"/>
        <v>100</v>
      </c>
      <c r="D43" s="21">
        <v>10675.7</v>
      </c>
      <c r="E43" s="21">
        <v>10675.7</v>
      </c>
      <c r="F43" s="21">
        <v>0</v>
      </c>
      <c r="G43" s="21">
        <v>0</v>
      </c>
      <c r="H43" s="21">
        <v>2102.9499999999998</v>
      </c>
      <c r="I43" s="21">
        <v>2102.9499999999998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f t="shared" si="4"/>
        <v>12778.650000000001</v>
      </c>
      <c r="R43" s="21">
        <f t="shared" si="5"/>
        <v>12778.650000000001</v>
      </c>
      <c r="S43" s="21">
        <f>(J43+L43+O43)/Q43</f>
        <v>0</v>
      </c>
    </row>
    <row r="44" spans="1:19" ht="30" x14ac:dyDescent="0.25">
      <c r="A44" s="5">
        <v>37</v>
      </c>
      <c r="B44" s="55" t="s">
        <v>50</v>
      </c>
      <c r="C44" s="9">
        <f t="shared" si="0"/>
        <v>100</v>
      </c>
      <c r="D44" s="21">
        <v>40160.699999999997</v>
      </c>
      <c r="E44" s="21">
        <v>40160.699999999997</v>
      </c>
      <c r="F44" s="21">
        <v>0</v>
      </c>
      <c r="G44" s="21">
        <v>0</v>
      </c>
      <c r="H44" s="21">
        <v>9028.3521999999994</v>
      </c>
      <c r="I44" s="21">
        <v>8938.9162400000005</v>
      </c>
      <c r="J44" s="21">
        <v>0</v>
      </c>
      <c r="K44" s="21">
        <v>0</v>
      </c>
      <c r="L44" s="21">
        <v>520</v>
      </c>
      <c r="M44" s="21">
        <v>0</v>
      </c>
      <c r="N44" s="21">
        <v>504.1</v>
      </c>
      <c r="O44" s="21">
        <v>0</v>
      </c>
      <c r="P44" s="21">
        <v>0</v>
      </c>
      <c r="Q44" s="21">
        <f t="shared" si="4"/>
        <v>49709.052199999998</v>
      </c>
      <c r="R44" s="21">
        <f t="shared" si="5"/>
        <v>49603.716239999994</v>
      </c>
      <c r="S44" s="21">
        <f t="shared" si="1"/>
        <v>1.0460871350107939E-2</v>
      </c>
    </row>
    <row r="45" spans="1:19" ht="30" x14ac:dyDescent="0.25">
      <c r="A45" s="5">
        <v>38</v>
      </c>
      <c r="B45" s="55" t="s">
        <v>51</v>
      </c>
      <c r="C45" s="9">
        <f t="shared" si="0"/>
        <v>99.872143895473116</v>
      </c>
      <c r="D45" s="21">
        <v>23389.200000000001</v>
      </c>
      <c r="E45" s="21">
        <v>23359.295480000001</v>
      </c>
      <c r="F45" s="21">
        <v>0</v>
      </c>
      <c r="G45" s="21">
        <v>0</v>
      </c>
      <c r="H45" s="21">
        <v>3388.4354499999999</v>
      </c>
      <c r="I45" s="21">
        <v>3388.4354499999999</v>
      </c>
      <c r="J45" s="21"/>
      <c r="K45" s="21"/>
      <c r="L45" s="21">
        <v>15</v>
      </c>
      <c r="M45" s="21">
        <v>15</v>
      </c>
      <c r="N45" s="21">
        <v>14.795999999999999</v>
      </c>
      <c r="O45" s="21">
        <v>0</v>
      </c>
      <c r="P45" s="21">
        <v>0</v>
      </c>
      <c r="Q45" s="21">
        <f t="shared" si="4"/>
        <v>26792.635450000002</v>
      </c>
      <c r="R45" s="21">
        <f t="shared" si="5"/>
        <v>26762.52693</v>
      </c>
      <c r="S45" s="21">
        <f t="shared" si="1"/>
        <v>5.5985533890433314E-4</v>
      </c>
    </row>
    <row r="46" spans="1:19" ht="30" x14ac:dyDescent="0.25">
      <c r="A46" s="26">
        <v>39</v>
      </c>
      <c r="B46" s="55" t="s">
        <v>52</v>
      </c>
      <c r="C46" s="9">
        <f>E46/D46*100</f>
        <v>100</v>
      </c>
      <c r="D46" s="21">
        <v>26128.5</v>
      </c>
      <c r="E46" s="21">
        <v>26128.5</v>
      </c>
      <c r="F46" s="21">
        <v>0</v>
      </c>
      <c r="G46" s="21">
        <v>0</v>
      </c>
      <c r="H46" s="21">
        <v>6261.1689500000002</v>
      </c>
      <c r="I46" s="21">
        <v>6256.5939500000004</v>
      </c>
      <c r="J46" s="21">
        <v>2625</v>
      </c>
      <c r="K46" s="21">
        <v>2625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f t="shared" si="4"/>
        <v>35014.668949999999</v>
      </c>
      <c r="R46" s="21">
        <f t="shared" si="5"/>
        <v>35010.093950000002</v>
      </c>
      <c r="S46" s="21">
        <f>(J46+L46+O46)/Q46</f>
        <v>7.4968579704364158E-2</v>
      </c>
    </row>
    <row r="47" spans="1:19" ht="30" x14ac:dyDescent="0.25">
      <c r="A47" s="5">
        <v>40</v>
      </c>
      <c r="B47" s="55" t="s">
        <v>53</v>
      </c>
      <c r="C47" s="9">
        <f t="shared" si="0"/>
        <v>100</v>
      </c>
      <c r="D47" s="21">
        <v>17332.3</v>
      </c>
      <c r="E47" s="21">
        <v>17332.3</v>
      </c>
      <c r="F47" s="21">
        <v>0</v>
      </c>
      <c r="G47" s="21">
        <v>0</v>
      </c>
      <c r="H47" s="21">
        <v>3285.7551199999998</v>
      </c>
      <c r="I47" s="21">
        <v>3279.2051200000001</v>
      </c>
      <c r="J47" s="21">
        <v>35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f t="shared" si="4"/>
        <v>20653.055119999997</v>
      </c>
      <c r="R47" s="21">
        <f t="shared" si="5"/>
        <v>20611.505119999998</v>
      </c>
      <c r="S47" s="21">
        <f t="shared" si="1"/>
        <v>1.694664532517841E-3</v>
      </c>
    </row>
    <row r="48" spans="1:19" ht="30" x14ac:dyDescent="0.25">
      <c r="A48" s="5">
        <v>41</v>
      </c>
      <c r="B48" s="55" t="s">
        <v>54</v>
      </c>
      <c r="C48" s="9">
        <f t="shared" si="0"/>
        <v>100</v>
      </c>
      <c r="D48" s="21">
        <v>11995.1</v>
      </c>
      <c r="E48" s="21">
        <v>11995.1</v>
      </c>
      <c r="F48" s="21">
        <v>0</v>
      </c>
      <c r="G48" s="21">
        <v>0</v>
      </c>
      <c r="H48" s="21">
        <v>2611.7618499999999</v>
      </c>
      <c r="I48" s="21">
        <v>2558.90065</v>
      </c>
      <c r="J48" s="21">
        <v>420</v>
      </c>
      <c r="K48" s="21">
        <v>421.6275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f t="shared" si="4"/>
        <v>15026.861850000001</v>
      </c>
      <c r="R48" s="21">
        <f t="shared" si="5"/>
        <v>14975.62815</v>
      </c>
      <c r="S48" s="21">
        <f t="shared" si="1"/>
        <v>2.794994751349231E-2</v>
      </c>
    </row>
    <row r="49" spans="1:19" ht="30" x14ac:dyDescent="0.25">
      <c r="A49" s="26">
        <v>42</v>
      </c>
      <c r="B49" s="55" t="s">
        <v>55</v>
      </c>
      <c r="C49" s="9">
        <f t="shared" si="0"/>
        <v>100</v>
      </c>
      <c r="D49" s="21">
        <v>16107.001</v>
      </c>
      <c r="E49" s="21">
        <v>16107.001</v>
      </c>
      <c r="F49" s="21">
        <v>0</v>
      </c>
      <c r="G49" s="21">
        <v>0</v>
      </c>
      <c r="H49" s="21">
        <v>2822.6775499999999</v>
      </c>
      <c r="I49" s="21">
        <v>2822.6775499999999</v>
      </c>
      <c r="J49" s="21">
        <v>441.96623</v>
      </c>
      <c r="K49" s="21">
        <v>400.84500000000003</v>
      </c>
      <c r="L49" s="21">
        <v>125</v>
      </c>
      <c r="M49" s="21">
        <v>0</v>
      </c>
      <c r="N49" s="21">
        <v>13.5</v>
      </c>
      <c r="O49" s="21">
        <v>0</v>
      </c>
      <c r="P49" s="21">
        <v>0</v>
      </c>
      <c r="Q49" s="21">
        <f t="shared" si="4"/>
        <v>19496.644780000002</v>
      </c>
      <c r="R49" s="21">
        <f t="shared" si="5"/>
        <v>19344.023550000002</v>
      </c>
      <c r="S49" s="21">
        <f t="shared" si="1"/>
        <v>2.9080194894949507E-2</v>
      </c>
    </row>
    <row r="50" spans="1:19" ht="30" x14ac:dyDescent="0.25">
      <c r="A50" s="5">
        <v>43</v>
      </c>
      <c r="B50" s="55" t="s">
        <v>56</v>
      </c>
      <c r="C50" s="9">
        <f t="shared" si="0"/>
        <v>100</v>
      </c>
      <c r="D50" s="21">
        <v>10602.814</v>
      </c>
      <c r="E50" s="21">
        <v>10602.814</v>
      </c>
      <c r="F50" s="21">
        <v>0</v>
      </c>
      <c r="G50" s="21">
        <v>0</v>
      </c>
      <c r="H50" s="21">
        <v>9657.5839099999994</v>
      </c>
      <c r="I50" s="21">
        <v>9606.8059099999991</v>
      </c>
      <c r="J50" s="21">
        <v>479.20634999999999</v>
      </c>
      <c r="K50" s="21">
        <v>461.64499999999998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f t="shared" si="4"/>
        <v>20739.60426</v>
      </c>
      <c r="R50" s="21">
        <f t="shared" si="5"/>
        <v>20671.264910000002</v>
      </c>
      <c r="S50" s="21">
        <f>(J50+L50+O50)/Q50</f>
        <v>2.3105857951409146E-2</v>
      </c>
    </row>
    <row r="51" spans="1:19" ht="30" x14ac:dyDescent="0.25">
      <c r="A51" s="5">
        <v>44</v>
      </c>
      <c r="B51" s="55" t="s">
        <v>57</v>
      </c>
      <c r="C51" s="9">
        <f t="shared" si="0"/>
        <v>100</v>
      </c>
      <c r="D51" s="21">
        <v>13065.959000000001</v>
      </c>
      <c r="E51" s="21">
        <v>13065.959000000001</v>
      </c>
      <c r="F51" s="21">
        <v>0</v>
      </c>
      <c r="G51" s="21">
        <v>0</v>
      </c>
      <c r="H51" s="21">
        <v>2845.2400400000001</v>
      </c>
      <c r="I51" s="21">
        <v>2845.2400400000001</v>
      </c>
      <c r="J51" s="21">
        <v>0</v>
      </c>
      <c r="K51" s="21">
        <v>0</v>
      </c>
      <c r="L51" s="21">
        <v>5.5283499999999997</v>
      </c>
      <c r="M51" s="21">
        <v>0</v>
      </c>
      <c r="N51" s="21">
        <v>5.5283499999999997</v>
      </c>
      <c r="O51" s="21">
        <v>0</v>
      </c>
      <c r="P51" s="21">
        <v>0</v>
      </c>
      <c r="Q51" s="21">
        <f t="shared" si="4"/>
        <v>15916.727390000002</v>
      </c>
      <c r="R51" s="21">
        <f t="shared" si="5"/>
        <v>15916.727390000002</v>
      </c>
      <c r="S51" s="21">
        <f t="shared" ref="S51:S53" si="6">(J51+L51+O51)/Q51</f>
        <v>3.4732956496278842E-4</v>
      </c>
    </row>
    <row r="52" spans="1:19" ht="30" x14ac:dyDescent="0.25">
      <c r="A52" s="26">
        <v>45</v>
      </c>
      <c r="B52" s="55" t="s">
        <v>58</v>
      </c>
      <c r="C52" s="9">
        <f t="shared" si="0"/>
        <v>100</v>
      </c>
      <c r="D52" s="21">
        <v>13624.2</v>
      </c>
      <c r="E52" s="21">
        <v>13624.2</v>
      </c>
      <c r="F52" s="21">
        <v>0</v>
      </c>
      <c r="G52" s="21">
        <v>0</v>
      </c>
      <c r="H52" s="21">
        <v>2465.431</v>
      </c>
      <c r="I52" s="21">
        <v>2465.431</v>
      </c>
      <c r="J52" s="21">
        <v>0</v>
      </c>
      <c r="K52" s="21">
        <v>0</v>
      </c>
      <c r="L52" s="21">
        <v>70</v>
      </c>
      <c r="M52" s="21">
        <v>0</v>
      </c>
      <c r="N52" s="21">
        <v>-0.46700000000000003</v>
      </c>
      <c r="O52" s="21">
        <v>0</v>
      </c>
      <c r="P52" s="21">
        <v>0</v>
      </c>
      <c r="Q52" s="21">
        <f t="shared" si="4"/>
        <v>16159.631000000001</v>
      </c>
      <c r="R52" s="21">
        <f t="shared" si="5"/>
        <v>16089.164000000001</v>
      </c>
      <c r="S52" s="21">
        <f>(J52+L52+O52)/Q52</f>
        <v>4.3317820809150899E-3</v>
      </c>
    </row>
    <row r="53" spans="1:19" ht="30" x14ac:dyDescent="0.25">
      <c r="A53" s="5">
        <v>46</v>
      </c>
      <c r="B53" s="55" t="s">
        <v>59</v>
      </c>
      <c r="C53" s="9">
        <f t="shared" si="0"/>
        <v>100</v>
      </c>
      <c r="D53" s="21">
        <v>10458.9</v>
      </c>
      <c r="E53" s="21">
        <v>10458.9</v>
      </c>
      <c r="F53" s="21">
        <v>0</v>
      </c>
      <c r="G53" s="21">
        <v>0</v>
      </c>
      <c r="H53" s="21">
        <v>2178.2175999999999</v>
      </c>
      <c r="I53" s="21">
        <v>2178.2175999999999</v>
      </c>
      <c r="J53" s="21">
        <v>276</v>
      </c>
      <c r="K53" s="21">
        <v>158.965</v>
      </c>
      <c r="L53" s="21">
        <v>0</v>
      </c>
      <c r="M53" s="21">
        <v>0</v>
      </c>
      <c r="N53" s="21">
        <v>0</v>
      </c>
      <c r="O53" s="21"/>
      <c r="P53" s="21"/>
      <c r="Q53" s="21">
        <f t="shared" si="4"/>
        <v>12913.1176</v>
      </c>
      <c r="R53" s="21">
        <f t="shared" si="5"/>
        <v>12796.0826</v>
      </c>
      <c r="S53" s="21">
        <f t="shared" si="6"/>
        <v>2.1373614687749766E-2</v>
      </c>
    </row>
    <row r="54" spans="1:19" ht="30" x14ac:dyDescent="0.25">
      <c r="A54" s="5">
        <v>47</v>
      </c>
      <c r="B54" s="55" t="s">
        <v>60</v>
      </c>
      <c r="C54" s="9">
        <f t="shared" si="0"/>
        <v>100</v>
      </c>
      <c r="D54" s="21">
        <v>13029.1</v>
      </c>
      <c r="E54" s="21">
        <v>13029.1</v>
      </c>
      <c r="F54" s="21">
        <v>0</v>
      </c>
      <c r="G54" s="21">
        <v>0</v>
      </c>
      <c r="H54" s="21">
        <v>2516.1550000000002</v>
      </c>
      <c r="I54" s="21">
        <v>2516.1550000000002</v>
      </c>
      <c r="J54" s="21">
        <v>0</v>
      </c>
      <c r="K54" s="21">
        <v>0</v>
      </c>
      <c r="L54" s="21">
        <v>20</v>
      </c>
      <c r="M54" s="21">
        <v>0</v>
      </c>
      <c r="N54" s="21">
        <v>10</v>
      </c>
      <c r="O54" s="21">
        <v>0</v>
      </c>
      <c r="P54" s="21">
        <v>0</v>
      </c>
      <c r="Q54" s="21">
        <f t="shared" si="4"/>
        <v>15565.255000000001</v>
      </c>
      <c r="R54" s="21">
        <f t="shared" si="5"/>
        <v>15555.255000000001</v>
      </c>
      <c r="S54" s="21">
        <f>(J54+L54+O54)/Q54</f>
        <v>1.284913096508859E-3</v>
      </c>
    </row>
    <row r="55" spans="1:19" ht="30" x14ac:dyDescent="0.25">
      <c r="A55" s="26">
        <v>48</v>
      </c>
      <c r="B55" s="55" t="s">
        <v>61</v>
      </c>
      <c r="C55" s="9">
        <f t="shared" si="0"/>
        <v>100</v>
      </c>
      <c r="D55" s="21">
        <v>6884.7</v>
      </c>
      <c r="E55" s="21">
        <v>6884.7</v>
      </c>
      <c r="F55" s="21">
        <v>0</v>
      </c>
      <c r="G55" s="21">
        <v>0</v>
      </c>
      <c r="H55" s="21">
        <v>1655.8576499999999</v>
      </c>
      <c r="I55" s="21">
        <v>1655.8576499999999</v>
      </c>
      <c r="J55" s="21"/>
      <c r="K55" s="21"/>
      <c r="L55" s="21">
        <v>0</v>
      </c>
      <c r="M55" s="21">
        <v>0</v>
      </c>
      <c r="N55" s="21">
        <v>0</v>
      </c>
      <c r="O55" s="21"/>
      <c r="P55" s="21"/>
      <c r="Q55" s="21">
        <f t="shared" si="4"/>
        <v>8540.5576499999988</v>
      </c>
      <c r="R55" s="21">
        <f t="shared" si="5"/>
        <v>8540.5576499999988</v>
      </c>
      <c r="S55" s="21">
        <f t="shared" si="1"/>
        <v>0</v>
      </c>
    </row>
    <row r="56" spans="1:19" ht="30" x14ac:dyDescent="0.25">
      <c r="A56" s="5">
        <v>49</v>
      </c>
      <c r="B56" s="55" t="s">
        <v>62</v>
      </c>
      <c r="C56" s="9">
        <f t="shared" si="0"/>
        <v>100</v>
      </c>
      <c r="D56" s="21">
        <v>10159</v>
      </c>
      <c r="E56" s="21">
        <v>10159</v>
      </c>
      <c r="F56" s="21">
        <v>0</v>
      </c>
      <c r="G56" s="21">
        <v>0</v>
      </c>
      <c r="H56" s="21">
        <v>2047.2239999999999</v>
      </c>
      <c r="I56" s="21">
        <v>2047.2239999999999</v>
      </c>
      <c r="J56" s="21">
        <v>200</v>
      </c>
      <c r="K56" s="21">
        <v>178.5675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f t="shared" si="4"/>
        <v>12406.224</v>
      </c>
      <c r="R56" s="21">
        <f t="shared" si="5"/>
        <v>12384.791499999999</v>
      </c>
      <c r="S56" s="21">
        <f t="shared" si="1"/>
        <v>1.6120940585951052E-2</v>
      </c>
    </row>
    <row r="57" spans="1:19" ht="30" x14ac:dyDescent="0.25">
      <c r="A57" s="5">
        <v>50</v>
      </c>
      <c r="B57" s="55" t="s">
        <v>63</v>
      </c>
      <c r="C57" s="9">
        <f>E57/D57*100</f>
        <v>100</v>
      </c>
      <c r="D57" s="21">
        <v>14706.8</v>
      </c>
      <c r="E57" s="21">
        <v>14706.8</v>
      </c>
      <c r="F57" s="21">
        <v>0</v>
      </c>
      <c r="G57" s="21">
        <v>0</v>
      </c>
      <c r="H57" s="21">
        <v>2863.54405</v>
      </c>
      <c r="I57" s="21">
        <v>2860.1588499999998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f t="shared" si="4"/>
        <v>17570.34405</v>
      </c>
      <c r="R57" s="21">
        <f t="shared" si="5"/>
        <v>17566.958849999999</v>
      </c>
      <c r="S57" s="21">
        <f t="shared" si="1"/>
        <v>0</v>
      </c>
    </row>
    <row r="58" spans="1:19" ht="30" x14ac:dyDescent="0.25">
      <c r="A58" s="26">
        <v>51</v>
      </c>
      <c r="B58" s="55" t="s">
        <v>64</v>
      </c>
      <c r="C58" s="9">
        <f t="shared" si="0"/>
        <v>100</v>
      </c>
      <c r="D58" s="21">
        <v>8562</v>
      </c>
      <c r="E58" s="21">
        <v>8562</v>
      </c>
      <c r="F58" s="21">
        <v>0</v>
      </c>
      <c r="G58" s="21">
        <v>0</v>
      </c>
      <c r="H58" s="21">
        <v>2478.0427500000001</v>
      </c>
      <c r="I58" s="21">
        <v>2410.3387499999999</v>
      </c>
      <c r="J58" s="21">
        <v>10.99915</v>
      </c>
      <c r="K58" s="21">
        <v>0</v>
      </c>
      <c r="L58" s="21">
        <v>2</v>
      </c>
      <c r="M58" s="21">
        <v>0</v>
      </c>
      <c r="N58" s="21">
        <v>0</v>
      </c>
      <c r="O58" s="21">
        <v>73</v>
      </c>
      <c r="P58" s="21">
        <v>73</v>
      </c>
      <c r="Q58" s="21">
        <f t="shared" si="4"/>
        <v>11126.0419</v>
      </c>
      <c r="R58" s="21">
        <f t="shared" si="5"/>
        <v>11045.338749999999</v>
      </c>
      <c r="S58" s="21">
        <f t="shared" si="1"/>
        <v>7.7295367726414902E-3</v>
      </c>
    </row>
    <row r="59" spans="1:19" ht="30" x14ac:dyDescent="0.25">
      <c r="A59" s="5">
        <v>52</v>
      </c>
      <c r="B59" s="55" t="s">
        <v>65</v>
      </c>
      <c r="C59" s="9">
        <f t="shared" si="0"/>
        <v>100</v>
      </c>
      <c r="D59" s="21">
        <v>13579.1</v>
      </c>
      <c r="E59" s="21">
        <v>13579.1</v>
      </c>
      <c r="F59" s="21">
        <v>0</v>
      </c>
      <c r="G59" s="21">
        <v>0</v>
      </c>
      <c r="H59" s="21">
        <v>1804.1389999999999</v>
      </c>
      <c r="I59" s="21">
        <v>1804.1389999999999</v>
      </c>
      <c r="J59" s="21">
        <v>0</v>
      </c>
      <c r="K59" s="21">
        <v>0</v>
      </c>
      <c r="L59" s="21">
        <v>30</v>
      </c>
      <c r="M59" s="21">
        <v>0</v>
      </c>
      <c r="N59" s="21">
        <v>0</v>
      </c>
      <c r="O59" s="21">
        <v>0</v>
      </c>
      <c r="P59" s="21">
        <v>0</v>
      </c>
      <c r="Q59" s="21">
        <f t="shared" si="4"/>
        <v>15413.239</v>
      </c>
      <c r="R59" s="21">
        <f t="shared" si="5"/>
        <v>15383.239</v>
      </c>
      <c r="S59" s="21">
        <f>(J59+L59+O59)/Q59</f>
        <v>1.9463786943159709E-3</v>
      </c>
    </row>
    <row r="60" spans="1:19" ht="30" x14ac:dyDescent="0.25">
      <c r="A60" s="5">
        <v>53</v>
      </c>
      <c r="B60" s="55" t="s">
        <v>66</v>
      </c>
      <c r="C60" s="9">
        <f t="shared" si="0"/>
        <v>100</v>
      </c>
      <c r="D60" s="21">
        <v>15098.7</v>
      </c>
      <c r="E60" s="21">
        <v>15098.7</v>
      </c>
      <c r="F60" s="21">
        <v>0</v>
      </c>
      <c r="G60" s="21">
        <v>0</v>
      </c>
      <c r="H60" s="21">
        <v>2876.3112999999998</v>
      </c>
      <c r="I60" s="21">
        <v>2876.3112999999998</v>
      </c>
      <c r="J60" s="21">
        <v>10</v>
      </c>
      <c r="K60" s="21">
        <v>2.7456200000000002</v>
      </c>
      <c r="L60" s="21">
        <v>80</v>
      </c>
      <c r="M60" s="21">
        <v>0</v>
      </c>
      <c r="N60" s="21">
        <v>70.148579999999995</v>
      </c>
      <c r="O60" s="21"/>
      <c r="P60" s="21"/>
      <c r="Q60" s="21">
        <f t="shared" si="4"/>
        <v>18065.011300000002</v>
      </c>
      <c r="R60" s="21">
        <f t="shared" si="5"/>
        <v>18047.905500000004</v>
      </c>
      <c r="S60" s="21">
        <f t="shared" si="1"/>
        <v>4.9820062941228265E-3</v>
      </c>
    </row>
    <row r="61" spans="1:19" ht="30" x14ac:dyDescent="0.25">
      <c r="A61" s="26">
        <v>54</v>
      </c>
      <c r="B61" s="55" t="s">
        <v>67</v>
      </c>
      <c r="C61" s="9">
        <f t="shared" si="0"/>
        <v>100</v>
      </c>
      <c r="D61" s="21">
        <v>14089.4</v>
      </c>
      <c r="E61" s="21">
        <v>14089.4</v>
      </c>
      <c r="F61" s="21">
        <v>0</v>
      </c>
      <c r="G61" s="21">
        <v>0</v>
      </c>
      <c r="H61" s="21">
        <v>2152.91</v>
      </c>
      <c r="I61" s="21">
        <v>2152.91</v>
      </c>
      <c r="J61" s="21">
        <v>825</v>
      </c>
      <c r="K61" s="21">
        <v>541.83639000000005</v>
      </c>
      <c r="L61" s="21">
        <v>30</v>
      </c>
      <c r="M61" s="21">
        <v>0</v>
      </c>
      <c r="N61" s="21">
        <v>0</v>
      </c>
      <c r="O61" s="21"/>
      <c r="P61" s="21"/>
      <c r="Q61" s="21">
        <f t="shared" si="4"/>
        <v>17097.309999999998</v>
      </c>
      <c r="R61" s="21">
        <f t="shared" si="5"/>
        <v>16784.146389999998</v>
      </c>
      <c r="S61" s="21">
        <f t="shared" si="1"/>
        <v>5.0007866734591587E-2</v>
      </c>
    </row>
    <row r="62" spans="1:19" ht="30" x14ac:dyDescent="0.25">
      <c r="A62" s="5">
        <v>55</v>
      </c>
      <c r="B62" s="55" t="s">
        <v>68</v>
      </c>
      <c r="C62" s="9">
        <f t="shared" si="0"/>
        <v>100</v>
      </c>
      <c r="D62" s="21">
        <v>16108.4</v>
      </c>
      <c r="E62" s="21">
        <v>16108.4</v>
      </c>
      <c r="F62" s="21">
        <v>0</v>
      </c>
      <c r="G62" s="21">
        <v>0</v>
      </c>
      <c r="H62" s="21">
        <v>2580.8995</v>
      </c>
      <c r="I62" s="21">
        <v>2580.8995</v>
      </c>
      <c r="J62" s="21">
        <v>495</v>
      </c>
      <c r="K62" s="21">
        <v>342.57825000000003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f t="shared" si="4"/>
        <v>19184.299500000001</v>
      </c>
      <c r="R62" s="21">
        <f t="shared" si="5"/>
        <v>19031.87775</v>
      </c>
      <c r="S62" s="21">
        <f t="shared" si="1"/>
        <v>2.580234946811584E-2</v>
      </c>
    </row>
    <row r="63" spans="1:19" ht="30" x14ac:dyDescent="0.25">
      <c r="A63" s="5">
        <v>56</v>
      </c>
      <c r="B63" s="55" t="s">
        <v>69</v>
      </c>
      <c r="C63" s="9">
        <f t="shared" si="0"/>
        <v>100</v>
      </c>
      <c r="D63" s="21">
        <v>6207.7227400000002</v>
      </c>
      <c r="E63" s="21">
        <v>6207.7227400000002</v>
      </c>
      <c r="F63" s="21">
        <v>0</v>
      </c>
      <c r="G63" s="21">
        <v>0</v>
      </c>
      <c r="H63" s="21">
        <v>1108.7909199999999</v>
      </c>
      <c r="I63" s="21">
        <v>1108.7909199999999</v>
      </c>
      <c r="J63" s="21">
        <v>332.0625</v>
      </c>
      <c r="K63" s="21">
        <v>221.47749999999999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f t="shared" si="4"/>
        <v>7648.5761600000005</v>
      </c>
      <c r="R63" s="21">
        <f t="shared" si="5"/>
        <v>7537.9911600000005</v>
      </c>
      <c r="S63" s="21">
        <f t="shared" si="1"/>
        <v>4.3414943259190868E-2</v>
      </c>
    </row>
    <row r="64" spans="1:19" ht="30" x14ac:dyDescent="0.25">
      <c r="A64" s="26">
        <v>57</v>
      </c>
      <c r="B64" s="55" t="s">
        <v>70</v>
      </c>
      <c r="C64" s="9">
        <f t="shared" si="0"/>
        <v>100</v>
      </c>
      <c r="D64" s="21">
        <v>7736.9</v>
      </c>
      <c r="E64" s="21">
        <v>7736.9</v>
      </c>
      <c r="F64" s="21">
        <v>0</v>
      </c>
      <c r="G64" s="21">
        <v>0</v>
      </c>
      <c r="H64" s="21">
        <v>1647.63</v>
      </c>
      <c r="I64" s="21">
        <v>1647.63</v>
      </c>
      <c r="J64" s="21">
        <v>60</v>
      </c>
      <c r="K64" s="21">
        <v>22.187000000000001</v>
      </c>
      <c r="L64" s="21">
        <v>42</v>
      </c>
      <c r="M64" s="21">
        <v>42</v>
      </c>
      <c r="N64" s="21">
        <v>20.79355</v>
      </c>
      <c r="O64" s="21">
        <v>0</v>
      </c>
      <c r="P64" s="21">
        <v>0</v>
      </c>
      <c r="Q64" s="21">
        <f t="shared" si="4"/>
        <v>9486.5299999999988</v>
      </c>
      <c r="R64" s="21">
        <f t="shared" si="5"/>
        <v>9427.5105499999991</v>
      </c>
      <c r="S64" s="21">
        <f t="shared" si="1"/>
        <v>1.0752087433445107E-2</v>
      </c>
    </row>
    <row r="65" spans="1:19" x14ac:dyDescent="0.25">
      <c r="A65" s="5">
        <v>58</v>
      </c>
      <c r="B65" s="55" t="s">
        <v>71</v>
      </c>
      <c r="C65" s="9">
        <f t="shared" si="0"/>
        <v>100</v>
      </c>
      <c r="D65" s="21">
        <v>2172.8000000000002</v>
      </c>
      <c r="E65" s="21">
        <v>2172.8000000000002</v>
      </c>
      <c r="F65" s="21">
        <v>0</v>
      </c>
      <c r="G65" s="21">
        <v>0</v>
      </c>
      <c r="H65" s="21">
        <v>1613.8</v>
      </c>
      <c r="I65" s="21">
        <v>1613.8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f t="shared" si="4"/>
        <v>3786.6000000000004</v>
      </c>
      <c r="R65" s="21">
        <f t="shared" si="5"/>
        <v>3786.6000000000004</v>
      </c>
      <c r="S65" s="21">
        <f t="shared" si="1"/>
        <v>0</v>
      </c>
    </row>
    <row r="66" spans="1:19" x14ac:dyDescent="0.25">
      <c r="A66" s="5">
        <v>59</v>
      </c>
      <c r="B66" s="55" t="s">
        <v>72</v>
      </c>
      <c r="C66" s="9">
        <f t="shared" si="0"/>
        <v>100</v>
      </c>
      <c r="D66" s="21">
        <v>2886</v>
      </c>
      <c r="E66" s="21">
        <v>2886</v>
      </c>
      <c r="F66" s="21">
        <v>0</v>
      </c>
      <c r="G66" s="21">
        <v>0</v>
      </c>
      <c r="H66" s="21">
        <v>1817.9272000000001</v>
      </c>
      <c r="I66" s="21">
        <v>1817.9272000000001</v>
      </c>
      <c r="J66" s="21"/>
      <c r="K66" s="21"/>
      <c r="L66" s="21">
        <v>35</v>
      </c>
      <c r="M66" s="21">
        <v>0</v>
      </c>
      <c r="N66" s="21">
        <v>27.4</v>
      </c>
      <c r="O66" s="21"/>
      <c r="P66" s="21"/>
      <c r="Q66" s="21">
        <f t="shared" si="4"/>
        <v>4738.9272000000001</v>
      </c>
      <c r="R66" s="21">
        <f t="shared" si="5"/>
        <v>4731.3271999999997</v>
      </c>
      <c r="S66" s="21">
        <f t="shared" si="1"/>
        <v>7.3856378295914732E-3</v>
      </c>
    </row>
    <row r="67" spans="1:19" ht="30" x14ac:dyDescent="0.25">
      <c r="A67" s="26">
        <v>60</v>
      </c>
      <c r="B67" s="55" t="s">
        <v>73</v>
      </c>
      <c r="C67" s="9">
        <f>E67/D67*100</f>
        <v>100</v>
      </c>
      <c r="D67" s="21">
        <v>3370.2</v>
      </c>
      <c r="E67" s="21">
        <v>3370.2</v>
      </c>
      <c r="F67" s="21">
        <v>0</v>
      </c>
      <c r="G67" s="21">
        <v>0</v>
      </c>
      <c r="H67" s="21">
        <v>1763.6071999999999</v>
      </c>
      <c r="I67" s="21">
        <v>1763.6071999999999</v>
      </c>
      <c r="J67" s="21">
        <v>0</v>
      </c>
      <c r="K67" s="21">
        <v>0</v>
      </c>
      <c r="L67" s="21">
        <v>70</v>
      </c>
      <c r="M67" s="21">
        <v>0</v>
      </c>
      <c r="N67" s="21">
        <v>70</v>
      </c>
      <c r="O67" s="21">
        <v>0</v>
      </c>
      <c r="P67" s="21">
        <v>0</v>
      </c>
      <c r="Q67" s="21">
        <f t="shared" si="4"/>
        <v>5203.8071999999993</v>
      </c>
      <c r="R67" s="21">
        <f t="shared" si="5"/>
        <v>5203.8071999999993</v>
      </c>
      <c r="S67" s="21">
        <f>(J67+L67+O67)/Q67</f>
        <v>1.3451689755146965E-2</v>
      </c>
    </row>
    <row r="68" spans="1:19" ht="30" x14ac:dyDescent="0.25">
      <c r="A68" s="5">
        <v>61</v>
      </c>
      <c r="B68" s="55" t="s">
        <v>74</v>
      </c>
      <c r="C68" s="9">
        <f t="shared" si="0"/>
        <v>100</v>
      </c>
      <c r="D68" s="21">
        <v>2169.6999999999998</v>
      </c>
      <c r="E68" s="21">
        <v>2169.6999999999998</v>
      </c>
      <c r="F68" s="21">
        <v>0</v>
      </c>
      <c r="G68" s="21">
        <v>0</v>
      </c>
      <c r="H68" s="21">
        <v>540.36400000000003</v>
      </c>
      <c r="I68" s="21">
        <v>540.36400000000003</v>
      </c>
      <c r="J68" s="21"/>
      <c r="K68" s="21"/>
      <c r="L68" s="21">
        <v>15</v>
      </c>
      <c r="M68" s="21">
        <v>0</v>
      </c>
      <c r="N68" s="21">
        <v>0</v>
      </c>
      <c r="O68" s="21">
        <v>0</v>
      </c>
      <c r="P68" s="21">
        <v>0</v>
      </c>
      <c r="Q68" s="21">
        <f t="shared" si="4"/>
        <v>2725.0639999999999</v>
      </c>
      <c r="R68" s="21">
        <f t="shared" si="5"/>
        <v>2710.0639999999999</v>
      </c>
      <c r="S68" s="21">
        <f t="shared" si="1"/>
        <v>5.5044578769526146E-3</v>
      </c>
    </row>
    <row r="69" spans="1:19" ht="30" x14ac:dyDescent="0.25">
      <c r="A69" s="5">
        <v>62</v>
      </c>
      <c r="B69" s="55" t="s">
        <v>75</v>
      </c>
      <c r="C69" s="9">
        <f t="shared" si="0"/>
        <v>100</v>
      </c>
      <c r="D69" s="21">
        <v>3208.1</v>
      </c>
      <c r="E69" s="21">
        <v>3208.1</v>
      </c>
      <c r="F69" s="21">
        <v>0</v>
      </c>
      <c r="G69" s="21">
        <v>0</v>
      </c>
      <c r="H69" s="21">
        <v>1462.7</v>
      </c>
      <c r="I69" s="21">
        <v>1462.7</v>
      </c>
      <c r="J69" s="21"/>
      <c r="K69" s="21"/>
      <c r="L69" s="21">
        <v>2</v>
      </c>
      <c r="M69" s="21">
        <v>0</v>
      </c>
      <c r="N69" s="21">
        <v>1</v>
      </c>
      <c r="O69" s="21"/>
      <c r="P69" s="21">
        <v>0</v>
      </c>
      <c r="Q69" s="21">
        <f t="shared" si="4"/>
        <v>4672.8</v>
      </c>
      <c r="R69" s="21">
        <f t="shared" si="5"/>
        <v>4671.8</v>
      </c>
      <c r="S69" s="21">
        <f t="shared" si="1"/>
        <v>4.2800890258517377E-4</v>
      </c>
    </row>
    <row r="70" spans="1:19" ht="30" x14ac:dyDescent="0.25">
      <c r="A70" s="26">
        <v>63</v>
      </c>
      <c r="B70" s="55" t="s">
        <v>76</v>
      </c>
      <c r="C70" s="9">
        <f>E70/D70*100</f>
        <v>100</v>
      </c>
      <c r="D70" s="21">
        <v>1162.2</v>
      </c>
      <c r="E70" s="21">
        <v>1162.2</v>
      </c>
      <c r="F70" s="21">
        <v>0</v>
      </c>
      <c r="G70" s="21">
        <v>0</v>
      </c>
      <c r="H70" s="21">
        <v>424.7</v>
      </c>
      <c r="I70" s="21">
        <v>424.7</v>
      </c>
      <c r="J70" s="21"/>
      <c r="K70" s="21"/>
      <c r="L70" s="21">
        <v>10</v>
      </c>
      <c r="M70" s="21">
        <v>0</v>
      </c>
      <c r="N70" s="21">
        <v>0</v>
      </c>
      <c r="O70" s="21"/>
      <c r="P70" s="21">
        <v>0</v>
      </c>
      <c r="Q70" s="21">
        <f t="shared" si="4"/>
        <v>1596.9</v>
      </c>
      <c r="R70" s="21">
        <f t="shared" si="5"/>
        <v>1586.9</v>
      </c>
      <c r="S70" s="21">
        <f t="shared" si="1"/>
        <v>6.2621328824597651E-3</v>
      </c>
    </row>
    <row r="71" spans="1:19" ht="30" x14ac:dyDescent="0.25">
      <c r="A71" s="5">
        <v>64</v>
      </c>
      <c r="B71" s="55" t="s">
        <v>77</v>
      </c>
      <c r="C71" s="9">
        <f>E71/D71*100</f>
        <v>100</v>
      </c>
      <c r="D71" s="21">
        <v>3825.8</v>
      </c>
      <c r="E71" s="21">
        <v>3825.8</v>
      </c>
      <c r="F71" s="21">
        <v>0</v>
      </c>
      <c r="G71" s="21">
        <v>0</v>
      </c>
      <c r="H71" s="21">
        <v>5578.2442499999997</v>
      </c>
      <c r="I71" s="21">
        <v>5578.2442499999997</v>
      </c>
      <c r="J71" s="21">
        <v>0</v>
      </c>
      <c r="K71" s="21">
        <v>0</v>
      </c>
      <c r="L71" s="21">
        <v>42</v>
      </c>
      <c r="M71" s="21">
        <v>100</v>
      </c>
      <c r="N71" s="21">
        <v>140.24010000000001</v>
      </c>
      <c r="O71" s="21">
        <v>0</v>
      </c>
      <c r="P71" s="21">
        <v>0</v>
      </c>
      <c r="Q71" s="21">
        <f t="shared" si="4"/>
        <v>9446.044249999999</v>
      </c>
      <c r="R71" s="21">
        <f t="shared" si="5"/>
        <v>9544.2843499999999</v>
      </c>
      <c r="S71" s="21">
        <f>(J71+L71+O71)/Q71</f>
        <v>4.4463056585829566E-3</v>
      </c>
    </row>
    <row r="72" spans="1:19" ht="30" x14ac:dyDescent="0.25">
      <c r="A72" s="5">
        <v>65</v>
      </c>
      <c r="B72" s="55" t="s">
        <v>78</v>
      </c>
      <c r="C72" s="9">
        <f>E72/D72*100</f>
        <v>100</v>
      </c>
      <c r="D72" s="21">
        <v>2029.7</v>
      </c>
      <c r="E72" s="21">
        <v>2029.7</v>
      </c>
      <c r="F72" s="21">
        <v>0</v>
      </c>
      <c r="G72" s="21">
        <v>0</v>
      </c>
      <c r="H72" s="21">
        <v>1471.3091999999999</v>
      </c>
      <c r="I72" s="21">
        <v>1471.3091999999999</v>
      </c>
      <c r="J72" s="21">
        <v>0</v>
      </c>
      <c r="K72" s="21">
        <v>0</v>
      </c>
      <c r="L72" s="21">
        <v>15</v>
      </c>
      <c r="M72" s="21">
        <v>0</v>
      </c>
      <c r="N72" s="21">
        <v>0</v>
      </c>
      <c r="O72" s="21">
        <v>0</v>
      </c>
      <c r="P72" s="21">
        <v>0</v>
      </c>
      <c r="Q72" s="21">
        <f t="shared" si="4"/>
        <v>3516.0092</v>
      </c>
      <c r="R72" s="21">
        <f t="shared" si="5"/>
        <v>3501.0092</v>
      </c>
      <c r="S72" s="21">
        <f t="shared" si="1"/>
        <v>4.2662004411137492E-3</v>
      </c>
    </row>
    <row r="73" spans="1:19" x14ac:dyDescent="0.25">
      <c r="A73" s="26">
        <v>66</v>
      </c>
      <c r="B73" s="55" t="s">
        <v>79</v>
      </c>
      <c r="C73" s="9">
        <f>E73/D73*100</f>
        <v>100</v>
      </c>
      <c r="D73" s="21">
        <v>1321</v>
      </c>
      <c r="E73" s="21">
        <v>1321</v>
      </c>
      <c r="F73" s="21">
        <v>0</v>
      </c>
      <c r="G73" s="21">
        <v>0</v>
      </c>
      <c r="H73" s="21">
        <v>469.88200000000001</v>
      </c>
      <c r="I73" s="21">
        <v>469.88200000000001</v>
      </c>
      <c r="J73" s="21">
        <v>0</v>
      </c>
      <c r="K73" s="21">
        <v>0</v>
      </c>
      <c r="L73" s="21">
        <v>26</v>
      </c>
      <c r="M73" s="21">
        <v>0</v>
      </c>
      <c r="N73" s="21">
        <v>0</v>
      </c>
      <c r="O73" s="21">
        <v>0</v>
      </c>
      <c r="P73" s="21">
        <v>0</v>
      </c>
      <c r="Q73" s="21">
        <f>D73+F73+H73+J73+L73+O73</f>
        <v>1816.8820000000001</v>
      </c>
      <c r="R73" s="21">
        <f t="shared" si="5"/>
        <v>1790.8820000000001</v>
      </c>
      <c r="S73" s="21">
        <f t="shared" ref="S73:S78" si="7">(J73+L73+O73)/Q73</f>
        <v>1.4310230383701307E-2</v>
      </c>
    </row>
    <row r="74" spans="1:19" ht="60" x14ac:dyDescent="0.25">
      <c r="A74" s="55">
        <v>67</v>
      </c>
      <c r="B74" s="67" t="s">
        <v>151</v>
      </c>
      <c r="C74" s="33">
        <v>9.5</v>
      </c>
      <c r="D74" s="58">
        <v>3785</v>
      </c>
      <c r="E74" s="59">
        <v>3785</v>
      </c>
      <c r="F74" s="58">
        <v>0</v>
      </c>
      <c r="G74" s="60">
        <v>0</v>
      </c>
      <c r="H74" s="60">
        <v>1219.4600499999999</v>
      </c>
      <c r="I74" s="60">
        <v>1219.4600499999999</v>
      </c>
      <c r="J74" s="60">
        <v>0</v>
      </c>
      <c r="K74" s="61">
        <v>0</v>
      </c>
      <c r="L74" s="21">
        <v>0</v>
      </c>
      <c r="M74" s="60">
        <v>0</v>
      </c>
      <c r="N74" s="60">
        <v>0</v>
      </c>
      <c r="O74" s="60">
        <v>0</v>
      </c>
      <c r="P74" s="62">
        <v>0</v>
      </c>
      <c r="Q74" s="21">
        <f>D74+F74+H74+J74+L74+O74</f>
        <v>5004.4600499999997</v>
      </c>
      <c r="R74" s="21">
        <f t="shared" si="5"/>
        <v>5004.4600499999997</v>
      </c>
      <c r="S74" s="21">
        <f>(J74+L74+O74)/Q74</f>
        <v>0</v>
      </c>
    </row>
    <row r="75" spans="1:19" ht="60" x14ac:dyDescent="0.25">
      <c r="A75" s="55">
        <v>68</v>
      </c>
      <c r="B75" s="67" t="s">
        <v>152</v>
      </c>
      <c r="C75" s="33">
        <v>8.3000000000000007</v>
      </c>
      <c r="D75" s="58">
        <v>3351</v>
      </c>
      <c r="E75" s="59">
        <v>2237.34402</v>
      </c>
      <c r="F75" s="58">
        <v>0</v>
      </c>
      <c r="G75" s="63">
        <v>0</v>
      </c>
      <c r="H75" s="63">
        <v>1769.83277</v>
      </c>
      <c r="I75" s="63">
        <v>1769.83277</v>
      </c>
      <c r="J75" s="64">
        <v>0</v>
      </c>
      <c r="K75" s="61">
        <v>0</v>
      </c>
      <c r="L75" s="65">
        <v>85.966999999999999</v>
      </c>
      <c r="M75" s="64">
        <v>0</v>
      </c>
      <c r="N75" s="60">
        <v>78.825550000000007</v>
      </c>
      <c r="O75" s="64">
        <v>85.966999999999999</v>
      </c>
      <c r="P75" s="66">
        <v>78.825550000000007</v>
      </c>
      <c r="Q75" s="21">
        <f t="shared" si="4"/>
        <v>5292.7667699999993</v>
      </c>
      <c r="R75" s="21">
        <f t="shared" si="5"/>
        <v>4164.8278899999996</v>
      </c>
      <c r="S75" s="21">
        <f t="shared" si="7"/>
        <v>3.248471120521338E-2</v>
      </c>
    </row>
    <row r="76" spans="1:19" ht="75" x14ac:dyDescent="0.25">
      <c r="A76" s="55">
        <v>69</v>
      </c>
      <c r="B76" s="67" t="s">
        <v>153</v>
      </c>
      <c r="C76" s="33">
        <v>15.8</v>
      </c>
      <c r="D76" s="58">
        <v>4170</v>
      </c>
      <c r="E76" s="59">
        <v>4283.8017399999999</v>
      </c>
      <c r="F76" s="58">
        <v>0</v>
      </c>
      <c r="G76" s="58">
        <v>0</v>
      </c>
      <c r="H76" s="58">
        <v>1114.9987100000001</v>
      </c>
      <c r="I76" s="58">
        <v>1114.9987100000001</v>
      </c>
      <c r="J76" s="64">
        <v>0</v>
      </c>
      <c r="K76" s="61">
        <v>0</v>
      </c>
      <c r="L76" s="21">
        <v>181.4425</v>
      </c>
      <c r="M76" s="60">
        <v>0</v>
      </c>
      <c r="N76" s="60">
        <v>180.37094999999999</v>
      </c>
      <c r="O76" s="60">
        <v>181.4425</v>
      </c>
      <c r="P76" s="66">
        <v>180.37094999999999</v>
      </c>
      <c r="Q76" s="21">
        <f t="shared" si="4"/>
        <v>5647.8837100000001</v>
      </c>
      <c r="R76" s="21">
        <f t="shared" si="5"/>
        <v>5759.5423499999997</v>
      </c>
      <c r="S76" s="21">
        <f>(J76+L76+O76)/Q76</f>
        <v>6.4251499965816403E-2</v>
      </c>
    </row>
    <row r="77" spans="1:19" ht="60" x14ac:dyDescent="0.25">
      <c r="A77" s="55">
        <v>70</v>
      </c>
      <c r="B77" s="67" t="s">
        <v>154</v>
      </c>
      <c r="C77" s="33">
        <v>14.9</v>
      </c>
      <c r="D77" s="58">
        <v>4356</v>
      </c>
      <c r="E77" s="59">
        <v>4358.4861700000001</v>
      </c>
      <c r="F77" s="58">
        <v>0</v>
      </c>
      <c r="G77" s="58">
        <v>0</v>
      </c>
      <c r="H77" s="58">
        <v>1931.7327499999999</v>
      </c>
      <c r="I77" s="58">
        <v>1931.7327499999999</v>
      </c>
      <c r="J77" s="60">
        <v>0</v>
      </c>
      <c r="K77" s="61">
        <v>0</v>
      </c>
      <c r="L77" s="21">
        <v>357</v>
      </c>
      <c r="M77" s="60">
        <v>0</v>
      </c>
      <c r="N77" s="60">
        <v>389.74723</v>
      </c>
      <c r="O77" s="60">
        <v>357</v>
      </c>
      <c r="P77" s="66">
        <v>389.74723</v>
      </c>
      <c r="Q77" s="21">
        <f t="shared" si="4"/>
        <v>7001.7327500000001</v>
      </c>
      <c r="R77" s="21">
        <f t="shared" si="5"/>
        <v>7069.7133800000001</v>
      </c>
      <c r="S77" s="21">
        <f t="shared" si="7"/>
        <v>0.10197475760553699</v>
      </c>
    </row>
    <row r="78" spans="1:19" ht="75" x14ac:dyDescent="0.25">
      <c r="A78" s="55">
        <v>71</v>
      </c>
      <c r="B78" s="67" t="s">
        <v>155</v>
      </c>
      <c r="C78" s="33">
        <v>22.5</v>
      </c>
      <c r="D78" s="58">
        <v>6427</v>
      </c>
      <c r="E78" s="59">
        <v>6413.5555400000003</v>
      </c>
      <c r="F78" s="58">
        <v>0</v>
      </c>
      <c r="G78" s="63">
        <v>0</v>
      </c>
      <c r="H78" s="63">
        <v>1520.5576100000001</v>
      </c>
      <c r="I78" s="63">
        <v>1520.5576100000001</v>
      </c>
      <c r="J78" s="64">
        <v>0</v>
      </c>
      <c r="K78" s="61">
        <v>0</v>
      </c>
      <c r="L78" s="21">
        <v>288.36070999999998</v>
      </c>
      <c r="M78" s="60">
        <v>25.360710000000001</v>
      </c>
      <c r="N78" s="60">
        <v>243.89751000000001</v>
      </c>
      <c r="O78" s="64">
        <v>288.36070999999998</v>
      </c>
      <c r="P78" s="66">
        <v>243.89751000000001</v>
      </c>
      <c r="Q78" s="21">
        <f t="shared" si="4"/>
        <v>8524.2790300000015</v>
      </c>
      <c r="R78" s="21">
        <f t="shared" si="5"/>
        <v>8421.9081700000006</v>
      </c>
      <c r="S78" s="21">
        <f t="shared" si="7"/>
        <v>6.765632823260595E-2</v>
      </c>
    </row>
    <row r="79" spans="1:19" x14ac:dyDescent="0.25">
      <c r="A79" s="55">
        <v>72</v>
      </c>
      <c r="B79" s="67" t="s">
        <v>156</v>
      </c>
      <c r="C79" s="55">
        <v>9</v>
      </c>
      <c r="D79" s="60">
        <v>925</v>
      </c>
      <c r="E79" s="60">
        <v>925</v>
      </c>
      <c r="F79" s="60">
        <v>0</v>
      </c>
      <c r="G79" s="60">
        <v>0</v>
      </c>
      <c r="H79" s="60">
        <v>0</v>
      </c>
      <c r="I79" s="60">
        <v>0</v>
      </c>
      <c r="J79" s="60">
        <v>0</v>
      </c>
      <c r="K79" s="61">
        <v>0</v>
      </c>
      <c r="L79" s="60">
        <v>0</v>
      </c>
      <c r="M79" s="60">
        <v>0</v>
      </c>
      <c r="N79" s="60">
        <v>0</v>
      </c>
      <c r="O79" s="60">
        <v>0</v>
      </c>
      <c r="P79" s="66">
        <v>0</v>
      </c>
      <c r="Q79" s="21">
        <f t="shared" si="4"/>
        <v>925</v>
      </c>
      <c r="R79" s="21">
        <f t="shared" si="5"/>
        <v>925</v>
      </c>
      <c r="S79" s="21">
        <f>(J79+L79+O79)/Q79</f>
        <v>0</v>
      </c>
    </row>
    <row r="80" spans="1:19" x14ac:dyDescent="0.25">
      <c r="A80" s="5"/>
      <c r="B80" s="45" t="s">
        <v>131</v>
      </c>
      <c r="C80" s="45"/>
      <c r="D80" s="62">
        <f>SUM(D8:D79)</f>
        <v>759277.13205999997</v>
      </c>
      <c r="E80" s="62">
        <f t="shared" ref="E80:P80" si="8">SUM(E8:E79)</f>
        <v>758218.54100999993</v>
      </c>
      <c r="F80" s="62">
        <f>SUM(F8:F79)</f>
        <v>138471</v>
      </c>
      <c r="G80" s="62">
        <f t="shared" si="8"/>
        <v>138471</v>
      </c>
      <c r="H80" s="62">
        <f t="shared" si="8"/>
        <v>286046.86468</v>
      </c>
      <c r="I80" s="62">
        <f t="shared" si="8"/>
        <v>279464.57344000007</v>
      </c>
      <c r="J80" s="62">
        <f t="shared" si="8"/>
        <v>45629.879540000002</v>
      </c>
      <c r="K80" s="62">
        <f t="shared" si="8"/>
        <v>36483.131029999997</v>
      </c>
      <c r="L80" s="62">
        <f t="shared" si="8"/>
        <v>4328.2985600000002</v>
      </c>
      <c r="M80" s="62">
        <f t="shared" si="8"/>
        <v>244.36071000000001</v>
      </c>
      <c r="N80" s="62">
        <f t="shared" si="8"/>
        <v>3230.3590999999997</v>
      </c>
      <c r="O80" s="62">
        <f t="shared" si="8"/>
        <v>985.77020999999991</v>
      </c>
      <c r="P80" s="62">
        <f t="shared" si="8"/>
        <v>965.84123999999997</v>
      </c>
      <c r="Q80" s="62">
        <f>SUM(Q8:Q79)</f>
        <v>1234738.94505</v>
      </c>
      <c r="R80" s="62">
        <f>SUM(R8:R79)</f>
        <v>1216833.4458200003</v>
      </c>
      <c r="S80" s="61">
        <f>(J80+L80+O80)/Q80</f>
        <v>4.1258881899069816E-2</v>
      </c>
    </row>
    <row r="81" spans="2:3" x14ac:dyDescent="0.25">
      <c r="B81" s="2"/>
      <c r="C81" s="2"/>
    </row>
    <row r="82" spans="2:3" x14ac:dyDescent="0.25">
      <c r="B82" s="2"/>
      <c r="C82" s="2"/>
    </row>
    <row r="83" spans="2:3" x14ac:dyDescent="0.25">
      <c r="B83" s="2"/>
      <c r="C83" s="2"/>
    </row>
    <row r="84" spans="2:3" x14ac:dyDescent="0.25">
      <c r="B84" s="2"/>
      <c r="C84" s="2"/>
    </row>
    <row r="85" spans="2:3" x14ac:dyDescent="0.25">
      <c r="B85" s="2"/>
      <c r="C85" s="2"/>
    </row>
    <row r="86" spans="2:3" x14ac:dyDescent="0.25">
      <c r="B86" s="2"/>
      <c r="C86" s="2"/>
    </row>
    <row r="87" spans="2:3" x14ac:dyDescent="0.25">
      <c r="B87" s="2"/>
      <c r="C87" s="2"/>
    </row>
    <row r="88" spans="2:3" x14ac:dyDescent="0.25">
      <c r="B88" s="2"/>
      <c r="C88" s="2"/>
    </row>
    <row r="89" spans="2:3" x14ac:dyDescent="0.25">
      <c r="B89" s="2"/>
      <c r="C89" s="2"/>
    </row>
    <row r="90" spans="2:3" x14ac:dyDescent="0.25">
      <c r="B90" s="2"/>
      <c r="C90" s="2"/>
    </row>
    <row r="91" spans="2:3" x14ac:dyDescent="0.25">
      <c r="B91" s="2"/>
      <c r="C91" s="2"/>
    </row>
    <row r="92" spans="2:3" x14ac:dyDescent="0.25">
      <c r="B92" s="2"/>
      <c r="C92" s="2"/>
    </row>
    <row r="93" spans="2:3" x14ac:dyDescent="0.25">
      <c r="B93" s="2"/>
      <c r="C93" s="2"/>
    </row>
    <row r="94" spans="2:3" x14ac:dyDescent="0.25">
      <c r="B94" s="2"/>
      <c r="C94" s="2"/>
    </row>
    <row r="95" spans="2:3" x14ac:dyDescent="0.25">
      <c r="B95" s="2"/>
      <c r="C95" s="2"/>
    </row>
    <row r="96" spans="2:3" x14ac:dyDescent="0.25">
      <c r="B96" s="2"/>
      <c r="C96" s="2"/>
    </row>
    <row r="97" spans="2:3" x14ac:dyDescent="0.25">
      <c r="B97" s="2"/>
      <c r="C97" s="2"/>
    </row>
    <row r="98" spans="2:3" x14ac:dyDescent="0.25">
      <c r="B98" s="2"/>
      <c r="C98" s="2"/>
    </row>
    <row r="99" spans="2:3" x14ac:dyDescent="0.25">
      <c r="B99" s="2"/>
      <c r="C99" s="2"/>
    </row>
    <row r="100" spans="2:3" x14ac:dyDescent="0.25">
      <c r="B100" s="2"/>
      <c r="C100" s="2"/>
    </row>
    <row r="101" spans="2:3" x14ac:dyDescent="0.25">
      <c r="B101" s="2"/>
      <c r="C101" s="2"/>
    </row>
    <row r="102" spans="2:3" x14ac:dyDescent="0.25">
      <c r="B102" s="2"/>
      <c r="C102" s="2"/>
    </row>
    <row r="103" spans="2:3" x14ac:dyDescent="0.25">
      <c r="B103" s="2"/>
      <c r="C103" s="2"/>
    </row>
    <row r="104" spans="2:3" x14ac:dyDescent="0.25">
      <c r="B104" s="2"/>
      <c r="C104" s="2"/>
    </row>
    <row r="105" spans="2:3" x14ac:dyDescent="0.25">
      <c r="B105" s="2"/>
      <c r="C105" s="2"/>
    </row>
    <row r="106" spans="2:3" x14ac:dyDescent="0.25">
      <c r="B106" s="2"/>
      <c r="C106" s="2"/>
    </row>
    <row r="107" spans="2:3" x14ac:dyDescent="0.25">
      <c r="B107" s="2"/>
      <c r="C107" s="2"/>
    </row>
    <row r="108" spans="2:3" x14ac:dyDescent="0.25">
      <c r="B108" s="2"/>
      <c r="C108" s="2"/>
    </row>
    <row r="109" spans="2:3" x14ac:dyDescent="0.25">
      <c r="B109" s="2"/>
      <c r="C109" s="2"/>
    </row>
    <row r="110" spans="2:3" x14ac:dyDescent="0.25">
      <c r="B110" s="2"/>
      <c r="C110" s="2"/>
    </row>
    <row r="111" spans="2:3" x14ac:dyDescent="0.25">
      <c r="B111" s="2"/>
      <c r="C111" s="2"/>
    </row>
    <row r="112" spans="2:3" x14ac:dyDescent="0.25">
      <c r="B112" s="2"/>
      <c r="C112" s="2"/>
    </row>
    <row r="113" spans="2:3" x14ac:dyDescent="0.25">
      <c r="B113" s="2"/>
      <c r="C113" s="2"/>
    </row>
    <row r="114" spans="2:3" x14ac:dyDescent="0.25">
      <c r="B114" s="2"/>
      <c r="C114" s="2"/>
    </row>
    <row r="115" spans="2:3" x14ac:dyDescent="0.25">
      <c r="B115" s="2"/>
      <c r="C115" s="2"/>
    </row>
    <row r="116" spans="2:3" x14ac:dyDescent="0.25">
      <c r="B116" s="2"/>
      <c r="C116" s="2"/>
    </row>
    <row r="117" spans="2:3" x14ac:dyDescent="0.25">
      <c r="B117" s="2"/>
      <c r="C117" s="2"/>
    </row>
    <row r="118" spans="2:3" x14ac:dyDescent="0.25">
      <c r="B118" s="2"/>
      <c r="C118" s="2"/>
    </row>
    <row r="119" spans="2:3" x14ac:dyDescent="0.25">
      <c r="B119" s="2"/>
      <c r="C119" s="2"/>
    </row>
    <row r="120" spans="2:3" x14ac:dyDescent="0.25">
      <c r="B120" s="2"/>
      <c r="C120" s="2"/>
    </row>
    <row r="121" spans="2:3" x14ac:dyDescent="0.25">
      <c r="B121" s="2"/>
      <c r="C121" s="2"/>
    </row>
    <row r="122" spans="2:3" x14ac:dyDescent="0.25">
      <c r="B122" s="2"/>
      <c r="C122" s="2"/>
    </row>
    <row r="123" spans="2:3" x14ac:dyDescent="0.25">
      <c r="B123" s="2"/>
      <c r="C123" s="2"/>
    </row>
    <row r="124" spans="2:3" x14ac:dyDescent="0.25">
      <c r="B124" s="2"/>
      <c r="C124" s="2"/>
    </row>
    <row r="125" spans="2:3" x14ac:dyDescent="0.25">
      <c r="B125" s="2"/>
      <c r="C125" s="2"/>
    </row>
    <row r="126" spans="2:3" x14ac:dyDescent="0.25">
      <c r="B126" s="2"/>
      <c r="C126" s="2"/>
    </row>
    <row r="127" spans="2:3" x14ac:dyDescent="0.25">
      <c r="B127" s="2"/>
      <c r="C127" s="2"/>
    </row>
    <row r="128" spans="2:3" x14ac:dyDescent="0.25">
      <c r="B128" s="2"/>
      <c r="C128" s="2"/>
    </row>
    <row r="129" spans="2:3" x14ac:dyDescent="0.25">
      <c r="B129" s="2"/>
      <c r="C129" s="2"/>
    </row>
    <row r="130" spans="2:3" x14ac:dyDescent="0.25">
      <c r="B130" s="2"/>
      <c r="C130" s="2"/>
    </row>
    <row r="131" spans="2:3" x14ac:dyDescent="0.25">
      <c r="B131" s="2"/>
      <c r="C131" s="2"/>
    </row>
    <row r="132" spans="2:3" x14ac:dyDescent="0.25">
      <c r="B132" s="2"/>
      <c r="C132" s="2"/>
    </row>
    <row r="133" spans="2:3" x14ac:dyDescent="0.25">
      <c r="B133" s="2"/>
      <c r="C133" s="2"/>
    </row>
    <row r="134" spans="2:3" x14ac:dyDescent="0.25">
      <c r="B134" s="2"/>
      <c r="C134" s="2"/>
    </row>
    <row r="135" spans="2:3" x14ac:dyDescent="0.25">
      <c r="B135" s="2"/>
      <c r="C135" s="2"/>
    </row>
    <row r="136" spans="2:3" x14ac:dyDescent="0.25">
      <c r="B136" s="2"/>
      <c r="C136" s="2"/>
    </row>
    <row r="137" spans="2:3" x14ac:dyDescent="0.25">
      <c r="B137" s="2"/>
      <c r="C137" s="2"/>
    </row>
    <row r="138" spans="2:3" x14ac:dyDescent="0.25">
      <c r="B138" s="2"/>
      <c r="C138" s="2"/>
    </row>
    <row r="139" spans="2:3" x14ac:dyDescent="0.25">
      <c r="B139" s="2"/>
      <c r="C139" s="2"/>
    </row>
    <row r="140" spans="2:3" x14ac:dyDescent="0.25">
      <c r="B140" s="2"/>
      <c r="C140" s="2"/>
    </row>
    <row r="141" spans="2:3" x14ac:dyDescent="0.25">
      <c r="B141" s="2"/>
      <c r="C141" s="2"/>
    </row>
    <row r="142" spans="2:3" x14ac:dyDescent="0.25">
      <c r="B142" s="2"/>
      <c r="C142" s="2"/>
    </row>
    <row r="143" spans="2:3" x14ac:dyDescent="0.25">
      <c r="B143" s="2"/>
      <c r="C143" s="2"/>
    </row>
    <row r="144" spans="2:3" x14ac:dyDescent="0.25">
      <c r="B144" s="2"/>
      <c r="C144" s="2"/>
    </row>
    <row r="145" spans="2:3" x14ac:dyDescent="0.25">
      <c r="B145" s="2"/>
      <c r="C145" s="2"/>
    </row>
    <row r="146" spans="2:3" x14ac:dyDescent="0.25">
      <c r="B146" s="2"/>
      <c r="C146" s="2"/>
    </row>
    <row r="147" spans="2:3" x14ac:dyDescent="0.25">
      <c r="B147" s="2"/>
      <c r="C147" s="2"/>
    </row>
    <row r="148" spans="2:3" x14ac:dyDescent="0.25">
      <c r="B148" s="2"/>
      <c r="C148" s="2"/>
    </row>
    <row r="149" spans="2:3" x14ac:dyDescent="0.25">
      <c r="B149" s="2"/>
      <c r="C149" s="2"/>
    </row>
    <row r="150" spans="2:3" x14ac:dyDescent="0.25">
      <c r="B150" s="2"/>
      <c r="C150" s="2"/>
    </row>
    <row r="151" spans="2:3" x14ac:dyDescent="0.25">
      <c r="B151" s="2"/>
      <c r="C151" s="2"/>
    </row>
    <row r="152" spans="2:3" x14ac:dyDescent="0.25">
      <c r="B152" s="2"/>
      <c r="C152" s="2"/>
    </row>
    <row r="153" spans="2:3" x14ac:dyDescent="0.25">
      <c r="B153" s="2"/>
      <c r="C153" s="2"/>
    </row>
    <row r="154" spans="2:3" x14ac:dyDescent="0.25">
      <c r="B154" s="2"/>
      <c r="C154" s="2"/>
    </row>
    <row r="155" spans="2:3" x14ac:dyDescent="0.25">
      <c r="B155" s="2"/>
      <c r="C155" s="2"/>
    </row>
    <row r="156" spans="2:3" x14ac:dyDescent="0.25">
      <c r="B156" s="2"/>
      <c r="C156" s="2"/>
    </row>
    <row r="157" spans="2:3" x14ac:dyDescent="0.25">
      <c r="B157" s="2"/>
      <c r="C157" s="2"/>
    </row>
    <row r="158" spans="2:3" x14ac:dyDescent="0.25">
      <c r="B158" s="2"/>
      <c r="C158" s="2"/>
    </row>
    <row r="159" spans="2:3" x14ac:dyDescent="0.25">
      <c r="B159" s="2"/>
      <c r="C159" s="2"/>
    </row>
    <row r="160" spans="2:3" x14ac:dyDescent="0.25">
      <c r="B160" s="2"/>
      <c r="C160" s="2"/>
    </row>
    <row r="161" spans="2:3" x14ac:dyDescent="0.25">
      <c r="B161" s="2"/>
      <c r="C161" s="2"/>
    </row>
    <row r="162" spans="2:3" x14ac:dyDescent="0.25">
      <c r="B162" s="2"/>
      <c r="C162" s="2"/>
    </row>
    <row r="163" spans="2:3" x14ac:dyDescent="0.25">
      <c r="B163" s="2"/>
      <c r="C163" s="2"/>
    </row>
    <row r="164" spans="2:3" x14ac:dyDescent="0.25">
      <c r="B164" s="2"/>
      <c r="C164" s="2"/>
    </row>
    <row r="165" spans="2:3" x14ac:dyDescent="0.25">
      <c r="B165" s="2"/>
      <c r="C165" s="2"/>
    </row>
    <row r="166" spans="2:3" x14ac:dyDescent="0.25">
      <c r="B166" s="2"/>
      <c r="C166" s="2"/>
    </row>
    <row r="167" spans="2:3" x14ac:dyDescent="0.25">
      <c r="B167" s="2"/>
      <c r="C167" s="2"/>
    </row>
    <row r="168" spans="2:3" x14ac:dyDescent="0.25">
      <c r="B168" s="2"/>
      <c r="C168" s="2"/>
    </row>
    <row r="169" spans="2:3" x14ac:dyDescent="0.25">
      <c r="B169" s="2"/>
      <c r="C169" s="2"/>
    </row>
    <row r="170" spans="2:3" x14ac:dyDescent="0.25">
      <c r="B170" s="2"/>
      <c r="C170" s="2"/>
    </row>
    <row r="171" spans="2:3" x14ac:dyDescent="0.25">
      <c r="B171" s="2"/>
      <c r="C171" s="2"/>
    </row>
    <row r="172" spans="2:3" x14ac:dyDescent="0.25">
      <c r="B172" s="2"/>
      <c r="C172" s="2"/>
    </row>
    <row r="173" spans="2:3" x14ac:dyDescent="0.25">
      <c r="B173" s="2"/>
      <c r="C173" s="2"/>
    </row>
    <row r="174" spans="2:3" x14ac:dyDescent="0.25">
      <c r="B174" s="2"/>
      <c r="C174" s="2"/>
    </row>
    <row r="175" spans="2:3" x14ac:dyDescent="0.25">
      <c r="B175" s="2"/>
      <c r="C175" s="2"/>
    </row>
    <row r="176" spans="2:3" x14ac:dyDescent="0.25">
      <c r="B176" s="2"/>
      <c r="C176" s="2"/>
    </row>
    <row r="177" spans="2:3" x14ac:dyDescent="0.25">
      <c r="B177" s="2"/>
      <c r="C177" s="2"/>
    </row>
    <row r="178" spans="2:3" x14ac:dyDescent="0.25">
      <c r="B178" s="2"/>
      <c r="C178" s="2"/>
    </row>
    <row r="179" spans="2:3" x14ac:dyDescent="0.25">
      <c r="B179" s="2"/>
      <c r="C179" s="2"/>
    </row>
    <row r="180" spans="2:3" x14ac:dyDescent="0.25">
      <c r="B180" s="2"/>
      <c r="C180" s="2"/>
    </row>
    <row r="181" spans="2:3" x14ac:dyDescent="0.25">
      <c r="B181" s="2"/>
      <c r="C181" s="2"/>
    </row>
    <row r="182" spans="2:3" x14ac:dyDescent="0.25">
      <c r="B182" s="2"/>
      <c r="C182" s="2"/>
    </row>
    <row r="183" spans="2:3" x14ac:dyDescent="0.25">
      <c r="B183" s="2"/>
      <c r="C183" s="2"/>
    </row>
    <row r="184" spans="2:3" x14ac:dyDescent="0.25">
      <c r="B184" s="2"/>
      <c r="C184" s="2"/>
    </row>
    <row r="185" spans="2:3" x14ac:dyDescent="0.25">
      <c r="B185" s="2"/>
      <c r="C185" s="2"/>
    </row>
    <row r="186" spans="2:3" x14ac:dyDescent="0.25">
      <c r="B186" s="2"/>
      <c r="C186" s="2"/>
    </row>
    <row r="187" spans="2:3" x14ac:dyDescent="0.25">
      <c r="B187" s="2"/>
      <c r="C187" s="2"/>
    </row>
    <row r="188" spans="2:3" x14ac:dyDescent="0.25">
      <c r="B188" s="2"/>
      <c r="C188" s="2"/>
    </row>
    <row r="189" spans="2:3" x14ac:dyDescent="0.25">
      <c r="B189" s="2"/>
      <c r="C189" s="2"/>
    </row>
    <row r="190" spans="2:3" x14ac:dyDescent="0.25">
      <c r="B190" s="2"/>
      <c r="C190" s="2"/>
    </row>
    <row r="191" spans="2:3" x14ac:dyDescent="0.25">
      <c r="B191" s="2"/>
      <c r="C191" s="2"/>
    </row>
    <row r="192" spans="2:3" x14ac:dyDescent="0.25">
      <c r="B192" s="2"/>
      <c r="C192" s="2"/>
    </row>
    <row r="193" spans="2:3" x14ac:dyDescent="0.25">
      <c r="B193" s="2"/>
      <c r="C193" s="2"/>
    </row>
    <row r="194" spans="2:3" x14ac:dyDescent="0.25">
      <c r="B194" s="2"/>
      <c r="C194" s="2"/>
    </row>
    <row r="195" spans="2:3" x14ac:dyDescent="0.25">
      <c r="B195" s="2"/>
      <c r="C195" s="2"/>
    </row>
    <row r="196" spans="2:3" x14ac:dyDescent="0.25">
      <c r="B196" s="2"/>
      <c r="C196" s="2"/>
    </row>
    <row r="197" spans="2:3" x14ac:dyDescent="0.25">
      <c r="B197" s="2"/>
      <c r="C197" s="2"/>
    </row>
    <row r="198" spans="2:3" x14ac:dyDescent="0.25">
      <c r="B198" s="2"/>
      <c r="C198" s="2"/>
    </row>
    <row r="199" spans="2:3" x14ac:dyDescent="0.25">
      <c r="B199" s="2"/>
      <c r="C199" s="2"/>
    </row>
    <row r="200" spans="2:3" x14ac:dyDescent="0.25">
      <c r="B200" s="2"/>
      <c r="C200" s="2"/>
    </row>
    <row r="201" spans="2:3" x14ac:dyDescent="0.25">
      <c r="B201" s="2"/>
      <c r="C201" s="2"/>
    </row>
    <row r="202" spans="2:3" x14ac:dyDescent="0.25">
      <c r="B202" s="2"/>
      <c r="C202" s="2"/>
    </row>
    <row r="203" spans="2:3" x14ac:dyDescent="0.25">
      <c r="B203" s="2"/>
      <c r="C203" s="2"/>
    </row>
    <row r="204" spans="2:3" x14ac:dyDescent="0.25">
      <c r="B204" s="2"/>
      <c r="C204" s="2"/>
    </row>
    <row r="205" spans="2:3" x14ac:dyDescent="0.25">
      <c r="B205" s="2"/>
      <c r="C205" s="2"/>
    </row>
    <row r="206" spans="2:3" x14ac:dyDescent="0.25">
      <c r="B206" s="2"/>
      <c r="C206" s="2"/>
    </row>
    <row r="207" spans="2:3" x14ac:dyDescent="0.25">
      <c r="B207" s="2"/>
      <c r="C207" s="2"/>
    </row>
    <row r="208" spans="2:3" x14ac:dyDescent="0.25">
      <c r="B208" s="2"/>
      <c r="C208" s="2"/>
    </row>
    <row r="209" spans="2:3" x14ac:dyDescent="0.25">
      <c r="B209" s="2"/>
      <c r="C209" s="2"/>
    </row>
    <row r="210" spans="2:3" x14ac:dyDescent="0.25">
      <c r="B210" s="2"/>
      <c r="C210" s="2"/>
    </row>
    <row r="211" spans="2:3" x14ac:dyDescent="0.25">
      <c r="B211" s="2"/>
      <c r="C211" s="2"/>
    </row>
    <row r="212" spans="2:3" x14ac:dyDescent="0.25">
      <c r="B212" s="2"/>
      <c r="C212" s="2"/>
    </row>
    <row r="213" spans="2:3" x14ac:dyDescent="0.25">
      <c r="B213" s="2"/>
      <c r="C213" s="2"/>
    </row>
    <row r="214" spans="2:3" x14ac:dyDescent="0.25">
      <c r="B214" s="2"/>
      <c r="C214" s="2"/>
    </row>
    <row r="215" spans="2:3" x14ac:dyDescent="0.25">
      <c r="B215" s="2"/>
      <c r="C215" s="2"/>
    </row>
    <row r="216" spans="2:3" x14ac:dyDescent="0.25">
      <c r="B216" s="2"/>
      <c r="C216" s="2"/>
    </row>
    <row r="217" spans="2:3" x14ac:dyDescent="0.25">
      <c r="B217" s="2"/>
      <c r="C217" s="2"/>
    </row>
    <row r="218" spans="2:3" x14ac:dyDescent="0.25">
      <c r="B218" s="2"/>
      <c r="C218" s="2"/>
    </row>
    <row r="219" spans="2:3" x14ac:dyDescent="0.25">
      <c r="B219" s="2"/>
      <c r="C219" s="2"/>
    </row>
    <row r="220" spans="2:3" x14ac:dyDescent="0.25">
      <c r="B220" s="2"/>
      <c r="C220" s="2"/>
    </row>
    <row r="221" spans="2:3" x14ac:dyDescent="0.25">
      <c r="B221" s="2"/>
      <c r="C221" s="2"/>
    </row>
    <row r="222" spans="2:3" x14ac:dyDescent="0.25">
      <c r="B222" s="2"/>
      <c r="C222" s="2"/>
    </row>
    <row r="223" spans="2:3" x14ac:dyDescent="0.25">
      <c r="B223" s="2"/>
      <c r="C223" s="2"/>
    </row>
    <row r="224" spans="2:3" x14ac:dyDescent="0.25">
      <c r="B224" s="2"/>
      <c r="C224" s="2"/>
    </row>
    <row r="225" spans="2:3" x14ac:dyDescent="0.25">
      <c r="B225" s="2"/>
      <c r="C225" s="2"/>
    </row>
    <row r="226" spans="2:3" x14ac:dyDescent="0.25">
      <c r="B226" s="2"/>
      <c r="C226" s="2"/>
    </row>
    <row r="227" spans="2:3" x14ac:dyDescent="0.25">
      <c r="B227" s="2"/>
      <c r="C227" s="2"/>
    </row>
    <row r="228" spans="2:3" x14ac:dyDescent="0.25">
      <c r="B228" s="2"/>
      <c r="C228" s="2"/>
    </row>
    <row r="229" spans="2:3" x14ac:dyDescent="0.25">
      <c r="B229" s="2"/>
      <c r="C229" s="2"/>
    </row>
    <row r="230" spans="2:3" x14ac:dyDescent="0.25">
      <c r="B230" s="2"/>
      <c r="C230" s="2"/>
    </row>
    <row r="231" spans="2:3" x14ac:dyDescent="0.25">
      <c r="B231" s="2"/>
      <c r="C231" s="2"/>
    </row>
    <row r="232" spans="2:3" x14ac:dyDescent="0.25">
      <c r="B232" s="2"/>
      <c r="C232" s="2"/>
    </row>
    <row r="233" spans="2:3" x14ac:dyDescent="0.25">
      <c r="B233" s="2"/>
      <c r="C233" s="2"/>
    </row>
    <row r="234" spans="2:3" x14ac:dyDescent="0.25">
      <c r="B234" s="2"/>
      <c r="C234" s="2"/>
    </row>
    <row r="235" spans="2:3" x14ac:dyDescent="0.25">
      <c r="B235" s="2"/>
      <c r="C235" s="2"/>
    </row>
    <row r="236" spans="2:3" x14ac:dyDescent="0.25">
      <c r="B236" s="2"/>
      <c r="C236" s="2"/>
    </row>
    <row r="237" spans="2:3" x14ac:dyDescent="0.25">
      <c r="B237" s="2"/>
      <c r="C237" s="2"/>
    </row>
    <row r="238" spans="2:3" x14ac:dyDescent="0.25">
      <c r="B238" s="2"/>
      <c r="C238" s="2"/>
    </row>
    <row r="239" spans="2:3" x14ac:dyDescent="0.25">
      <c r="B239" s="2"/>
      <c r="C239" s="2"/>
    </row>
    <row r="240" spans="2:3" x14ac:dyDescent="0.25">
      <c r="B240" s="2"/>
      <c r="C240" s="2"/>
    </row>
    <row r="241" spans="2:3" x14ac:dyDescent="0.25">
      <c r="B241" s="2"/>
      <c r="C241" s="2"/>
    </row>
    <row r="242" spans="2:3" x14ac:dyDescent="0.25">
      <c r="B242" s="2"/>
      <c r="C242" s="2"/>
    </row>
    <row r="243" spans="2:3" x14ac:dyDescent="0.25">
      <c r="B243" s="2"/>
      <c r="C243" s="2"/>
    </row>
    <row r="244" spans="2:3" x14ac:dyDescent="0.25">
      <c r="B244" s="2"/>
      <c r="C244" s="2"/>
    </row>
    <row r="245" spans="2:3" x14ac:dyDescent="0.25">
      <c r="B245" s="2"/>
      <c r="C245" s="2"/>
    </row>
    <row r="246" spans="2:3" x14ac:dyDescent="0.25">
      <c r="B246" s="2"/>
      <c r="C246" s="2"/>
    </row>
    <row r="247" spans="2:3" x14ac:dyDescent="0.25">
      <c r="B247" s="2"/>
      <c r="C247" s="2"/>
    </row>
    <row r="248" spans="2:3" x14ac:dyDescent="0.25">
      <c r="B248" s="2"/>
      <c r="C248" s="2"/>
    </row>
    <row r="249" spans="2:3" x14ac:dyDescent="0.25">
      <c r="B249" s="2"/>
      <c r="C249" s="2"/>
    </row>
    <row r="250" spans="2:3" x14ac:dyDescent="0.25">
      <c r="B250" s="2"/>
      <c r="C250" s="2"/>
    </row>
    <row r="251" spans="2:3" x14ac:dyDescent="0.25">
      <c r="B251" s="2"/>
      <c r="C251" s="2"/>
    </row>
    <row r="252" spans="2:3" x14ac:dyDescent="0.25">
      <c r="B252" s="2"/>
      <c r="C252" s="2"/>
    </row>
    <row r="253" spans="2:3" x14ac:dyDescent="0.25">
      <c r="B253" s="2"/>
      <c r="C253" s="2"/>
    </row>
    <row r="254" spans="2:3" x14ac:dyDescent="0.25">
      <c r="B254" s="2"/>
      <c r="C254" s="2"/>
    </row>
    <row r="255" spans="2:3" x14ac:dyDescent="0.25">
      <c r="B255" s="2"/>
      <c r="C255" s="2"/>
    </row>
    <row r="256" spans="2:3" x14ac:dyDescent="0.25">
      <c r="B256" s="2"/>
      <c r="C256" s="2"/>
    </row>
    <row r="257" spans="2:3" x14ac:dyDescent="0.25">
      <c r="B257" s="2"/>
      <c r="C257" s="2"/>
    </row>
    <row r="258" spans="2:3" x14ac:dyDescent="0.25">
      <c r="B258" s="2"/>
      <c r="C258" s="2"/>
    </row>
    <row r="259" spans="2:3" x14ac:dyDescent="0.25">
      <c r="B259" s="2"/>
      <c r="C259" s="2"/>
    </row>
    <row r="260" spans="2:3" x14ac:dyDescent="0.25">
      <c r="B260" s="2"/>
      <c r="C260" s="2"/>
    </row>
    <row r="261" spans="2:3" x14ac:dyDescent="0.25">
      <c r="B261" s="2"/>
      <c r="C261" s="2"/>
    </row>
    <row r="262" spans="2:3" x14ac:dyDescent="0.25">
      <c r="B262" s="2"/>
      <c r="C262" s="2"/>
    </row>
    <row r="263" spans="2:3" x14ac:dyDescent="0.25">
      <c r="B263" s="2"/>
      <c r="C263" s="2"/>
    </row>
    <row r="264" spans="2:3" x14ac:dyDescent="0.25">
      <c r="B264" s="2"/>
      <c r="C264" s="2"/>
    </row>
    <row r="265" spans="2:3" x14ac:dyDescent="0.25">
      <c r="B265" s="2"/>
      <c r="C265" s="2"/>
    </row>
    <row r="266" spans="2:3" x14ac:dyDescent="0.25">
      <c r="B266" s="2"/>
      <c r="C266" s="2"/>
    </row>
    <row r="267" spans="2:3" x14ac:dyDescent="0.25">
      <c r="B267" s="2"/>
      <c r="C267" s="2"/>
    </row>
    <row r="268" spans="2:3" x14ac:dyDescent="0.25">
      <c r="B268" s="2"/>
      <c r="C268" s="2"/>
    </row>
    <row r="269" spans="2:3" x14ac:dyDescent="0.25">
      <c r="B269" s="2"/>
      <c r="C269" s="2"/>
    </row>
    <row r="270" spans="2:3" x14ac:dyDescent="0.25">
      <c r="B270" s="2"/>
      <c r="C270" s="2"/>
    </row>
    <row r="271" spans="2:3" x14ac:dyDescent="0.25">
      <c r="B271" s="2"/>
      <c r="C271" s="2"/>
    </row>
    <row r="272" spans="2:3" x14ac:dyDescent="0.25">
      <c r="B272" s="2"/>
      <c r="C272" s="2"/>
    </row>
    <row r="273" spans="2:3" x14ac:dyDescent="0.25">
      <c r="B273" s="2"/>
      <c r="C273" s="2"/>
    </row>
    <row r="274" spans="2:3" x14ac:dyDescent="0.25">
      <c r="B274" s="2"/>
      <c r="C274" s="2"/>
    </row>
    <row r="275" spans="2:3" x14ac:dyDescent="0.25">
      <c r="B275" s="2"/>
      <c r="C275" s="2"/>
    </row>
    <row r="276" spans="2:3" x14ac:dyDescent="0.25">
      <c r="B276" s="2"/>
      <c r="C276" s="2"/>
    </row>
    <row r="277" spans="2:3" x14ac:dyDescent="0.25">
      <c r="B277" s="2"/>
      <c r="C277" s="2"/>
    </row>
    <row r="278" spans="2:3" x14ac:dyDescent="0.25">
      <c r="B278" s="2"/>
      <c r="C278" s="2"/>
    </row>
    <row r="279" spans="2:3" x14ac:dyDescent="0.25">
      <c r="B279" s="2"/>
      <c r="C279" s="2"/>
    </row>
    <row r="280" spans="2:3" x14ac:dyDescent="0.25">
      <c r="B280" s="2"/>
      <c r="C280" s="2"/>
    </row>
    <row r="281" spans="2:3" x14ac:dyDescent="0.25">
      <c r="B281" s="2"/>
      <c r="C281" s="2"/>
    </row>
    <row r="282" spans="2:3" x14ac:dyDescent="0.25">
      <c r="B282" s="2"/>
      <c r="C282" s="2"/>
    </row>
    <row r="283" spans="2:3" x14ac:dyDescent="0.25">
      <c r="B283" s="2"/>
      <c r="C283" s="2"/>
    </row>
    <row r="284" spans="2:3" x14ac:dyDescent="0.25">
      <c r="B284" s="2"/>
      <c r="C284" s="2"/>
    </row>
    <row r="285" spans="2:3" x14ac:dyDescent="0.25">
      <c r="B285" s="2"/>
      <c r="C285" s="2"/>
    </row>
    <row r="286" spans="2:3" x14ac:dyDescent="0.25">
      <c r="B286" s="2"/>
      <c r="C286" s="2"/>
    </row>
    <row r="287" spans="2:3" x14ac:dyDescent="0.25">
      <c r="B287" s="2"/>
      <c r="C287" s="2"/>
    </row>
    <row r="288" spans="2:3" x14ac:dyDescent="0.25">
      <c r="B288" s="2"/>
      <c r="C288" s="2"/>
    </row>
    <row r="289" spans="2:3" x14ac:dyDescent="0.25">
      <c r="B289" s="2"/>
      <c r="C289" s="2"/>
    </row>
    <row r="290" spans="2:3" x14ac:dyDescent="0.25">
      <c r="B290" s="2"/>
      <c r="C290" s="2"/>
    </row>
    <row r="291" spans="2:3" x14ac:dyDescent="0.25">
      <c r="B291" s="2"/>
      <c r="C291" s="2"/>
    </row>
    <row r="292" spans="2:3" x14ac:dyDescent="0.25">
      <c r="B292" s="2"/>
      <c r="C292" s="2"/>
    </row>
    <row r="293" spans="2:3" x14ac:dyDescent="0.25">
      <c r="B293" s="2"/>
      <c r="C293" s="2"/>
    </row>
    <row r="294" spans="2:3" x14ac:dyDescent="0.25">
      <c r="B294" s="2"/>
      <c r="C294" s="2"/>
    </row>
    <row r="295" spans="2:3" x14ac:dyDescent="0.25">
      <c r="B295" s="2"/>
      <c r="C295" s="2"/>
    </row>
    <row r="296" spans="2:3" x14ac:dyDescent="0.25">
      <c r="B296" s="2"/>
      <c r="C296" s="2"/>
    </row>
    <row r="297" spans="2:3" x14ac:dyDescent="0.25">
      <c r="B297" s="2"/>
      <c r="C297" s="2"/>
    </row>
    <row r="298" spans="2:3" x14ac:dyDescent="0.25">
      <c r="B298" s="2"/>
      <c r="C298" s="2"/>
    </row>
    <row r="299" spans="2:3" x14ac:dyDescent="0.25">
      <c r="B299" s="2"/>
      <c r="C299" s="2"/>
    </row>
    <row r="300" spans="2:3" x14ac:dyDescent="0.25">
      <c r="B300" s="2"/>
      <c r="C300" s="2"/>
    </row>
    <row r="301" spans="2:3" x14ac:dyDescent="0.25">
      <c r="B301" s="2"/>
      <c r="C301" s="2"/>
    </row>
    <row r="302" spans="2:3" x14ac:dyDescent="0.25">
      <c r="B302" s="2"/>
      <c r="C302" s="2"/>
    </row>
    <row r="303" spans="2:3" x14ac:dyDescent="0.25">
      <c r="B303" s="2"/>
      <c r="C303" s="2"/>
    </row>
    <row r="304" spans="2:3" x14ac:dyDescent="0.25">
      <c r="B304" s="2"/>
      <c r="C304" s="2"/>
    </row>
    <row r="305" spans="2:3" x14ac:dyDescent="0.25">
      <c r="B305" s="2"/>
      <c r="C305" s="2"/>
    </row>
    <row r="306" spans="2:3" x14ac:dyDescent="0.25">
      <c r="B306" s="2"/>
      <c r="C306" s="2"/>
    </row>
    <row r="307" spans="2:3" x14ac:dyDescent="0.25">
      <c r="B307" s="2"/>
      <c r="C307" s="2"/>
    </row>
    <row r="308" spans="2:3" x14ac:dyDescent="0.25">
      <c r="B308" s="2"/>
      <c r="C308" s="2"/>
    </row>
    <row r="309" spans="2:3" x14ac:dyDescent="0.25">
      <c r="B309" s="2"/>
      <c r="C309" s="2"/>
    </row>
    <row r="310" spans="2:3" x14ac:dyDescent="0.25">
      <c r="B310" s="2"/>
      <c r="C310" s="2"/>
    </row>
    <row r="311" spans="2:3" x14ac:dyDescent="0.25">
      <c r="B311" s="2"/>
      <c r="C311" s="2"/>
    </row>
    <row r="312" spans="2:3" x14ac:dyDescent="0.25">
      <c r="B312" s="2"/>
      <c r="C312" s="2"/>
    </row>
    <row r="313" spans="2:3" x14ac:dyDescent="0.25">
      <c r="B313" s="2"/>
      <c r="C313" s="2"/>
    </row>
    <row r="314" spans="2:3" x14ac:dyDescent="0.25">
      <c r="B314" s="2"/>
      <c r="C314" s="2"/>
    </row>
    <row r="315" spans="2:3" x14ac:dyDescent="0.25">
      <c r="B315" s="2"/>
      <c r="C315" s="2"/>
    </row>
    <row r="316" spans="2:3" x14ac:dyDescent="0.25">
      <c r="B316" s="2"/>
      <c r="C316" s="2"/>
    </row>
    <row r="317" spans="2:3" x14ac:dyDescent="0.25">
      <c r="B317" s="2"/>
      <c r="C317" s="2"/>
    </row>
    <row r="318" spans="2:3" x14ac:dyDescent="0.25">
      <c r="B318" s="2"/>
      <c r="C318" s="2"/>
    </row>
    <row r="319" spans="2:3" x14ac:dyDescent="0.25">
      <c r="B319" s="2"/>
      <c r="C319" s="2"/>
    </row>
    <row r="320" spans="2:3" x14ac:dyDescent="0.25">
      <c r="B320" s="2"/>
      <c r="C320" s="2"/>
    </row>
    <row r="321" spans="2:3" x14ac:dyDescent="0.25">
      <c r="B321" s="2"/>
      <c r="C321" s="2"/>
    </row>
    <row r="322" spans="2:3" x14ac:dyDescent="0.25">
      <c r="B322" s="2"/>
      <c r="C322" s="2"/>
    </row>
    <row r="323" spans="2:3" x14ac:dyDescent="0.25">
      <c r="B323" s="2"/>
      <c r="C323" s="2"/>
    </row>
    <row r="324" spans="2:3" x14ac:dyDescent="0.25">
      <c r="B324" s="2"/>
      <c r="C324" s="2"/>
    </row>
    <row r="325" spans="2:3" x14ac:dyDescent="0.25">
      <c r="B325" s="2"/>
      <c r="C325" s="2"/>
    </row>
    <row r="326" spans="2:3" x14ac:dyDescent="0.25">
      <c r="B326" s="2"/>
      <c r="C326" s="2"/>
    </row>
    <row r="327" spans="2:3" x14ac:dyDescent="0.25">
      <c r="B327" s="2"/>
      <c r="C327" s="2"/>
    </row>
    <row r="328" spans="2:3" x14ac:dyDescent="0.25">
      <c r="B328" s="2"/>
      <c r="C328" s="2"/>
    </row>
    <row r="329" spans="2:3" x14ac:dyDescent="0.25">
      <c r="B329" s="2"/>
      <c r="C329" s="2"/>
    </row>
    <row r="330" spans="2:3" x14ac:dyDescent="0.25">
      <c r="B330" s="2"/>
      <c r="C330" s="2"/>
    </row>
    <row r="331" spans="2:3" x14ac:dyDescent="0.25">
      <c r="B331" s="2"/>
      <c r="C331" s="2"/>
    </row>
    <row r="332" spans="2:3" x14ac:dyDescent="0.25">
      <c r="B332" s="2"/>
      <c r="C332" s="2"/>
    </row>
    <row r="333" spans="2:3" x14ac:dyDescent="0.25">
      <c r="B333" s="2"/>
      <c r="C333" s="2"/>
    </row>
    <row r="334" spans="2:3" x14ac:dyDescent="0.25">
      <c r="B334" s="2"/>
      <c r="C334" s="2"/>
    </row>
    <row r="335" spans="2:3" x14ac:dyDescent="0.25">
      <c r="B335" s="2"/>
      <c r="C335" s="2"/>
    </row>
    <row r="336" spans="2:3" x14ac:dyDescent="0.25">
      <c r="B336" s="2"/>
      <c r="C336" s="2"/>
    </row>
    <row r="337" spans="2:3" x14ac:dyDescent="0.25">
      <c r="B337" s="2"/>
      <c r="C337" s="2"/>
    </row>
    <row r="338" spans="2:3" x14ac:dyDescent="0.25">
      <c r="B338" s="2"/>
      <c r="C338" s="2"/>
    </row>
    <row r="339" spans="2:3" x14ac:dyDescent="0.25">
      <c r="B339" s="2"/>
      <c r="C339" s="2"/>
    </row>
    <row r="340" spans="2:3" x14ac:dyDescent="0.25">
      <c r="B340" s="2"/>
      <c r="C340" s="2"/>
    </row>
    <row r="341" spans="2:3" x14ac:dyDescent="0.25">
      <c r="B341" s="2"/>
      <c r="C341" s="2"/>
    </row>
    <row r="342" spans="2:3" x14ac:dyDescent="0.25">
      <c r="B342" s="2"/>
      <c r="C342" s="2"/>
    </row>
    <row r="343" spans="2:3" x14ac:dyDescent="0.25">
      <c r="B343" s="2"/>
      <c r="C343" s="2"/>
    </row>
    <row r="344" spans="2:3" x14ac:dyDescent="0.25">
      <c r="B344" s="2"/>
      <c r="C344" s="2"/>
    </row>
    <row r="345" spans="2:3" x14ac:dyDescent="0.25">
      <c r="B345" s="2"/>
      <c r="C345" s="2"/>
    </row>
    <row r="346" spans="2:3" x14ac:dyDescent="0.25">
      <c r="B346" s="2"/>
      <c r="C346" s="2"/>
    </row>
    <row r="347" spans="2:3" x14ac:dyDescent="0.25">
      <c r="B347" s="2"/>
      <c r="C347" s="2"/>
    </row>
    <row r="348" spans="2:3" x14ac:dyDescent="0.25">
      <c r="B348" s="2"/>
      <c r="C348" s="2"/>
    </row>
    <row r="349" spans="2:3" x14ac:dyDescent="0.25">
      <c r="B349" s="2"/>
      <c r="C349" s="2"/>
    </row>
    <row r="350" spans="2:3" x14ac:dyDescent="0.25">
      <c r="B350" s="2"/>
      <c r="C350" s="2"/>
    </row>
    <row r="351" spans="2:3" x14ac:dyDescent="0.25">
      <c r="B351" s="2"/>
      <c r="C351" s="2"/>
    </row>
    <row r="352" spans="2:3" x14ac:dyDescent="0.25">
      <c r="B352" s="2"/>
      <c r="C352" s="2"/>
    </row>
    <row r="353" spans="2:3" x14ac:dyDescent="0.25">
      <c r="B353" s="2"/>
      <c r="C353" s="2"/>
    </row>
    <row r="354" spans="2:3" x14ac:dyDescent="0.25">
      <c r="B354" s="2"/>
      <c r="C354" s="2"/>
    </row>
    <row r="355" spans="2:3" x14ac:dyDescent="0.25">
      <c r="B355" s="2"/>
      <c r="C355" s="2"/>
    </row>
    <row r="356" spans="2:3" x14ac:dyDescent="0.25">
      <c r="B356" s="2"/>
      <c r="C356" s="2"/>
    </row>
    <row r="357" spans="2:3" x14ac:dyDescent="0.25">
      <c r="B357" s="2"/>
      <c r="C357" s="2"/>
    </row>
    <row r="358" spans="2:3" x14ac:dyDescent="0.25">
      <c r="B358" s="2"/>
      <c r="C358" s="2"/>
    </row>
    <row r="359" spans="2:3" x14ac:dyDescent="0.25">
      <c r="B359" s="2"/>
      <c r="C359" s="2"/>
    </row>
    <row r="360" spans="2:3" x14ac:dyDescent="0.25">
      <c r="B360" s="2"/>
      <c r="C360" s="2"/>
    </row>
    <row r="361" spans="2:3" x14ac:dyDescent="0.25">
      <c r="B361" s="2"/>
      <c r="C361" s="2"/>
    </row>
    <row r="362" spans="2:3" x14ac:dyDescent="0.25">
      <c r="B362" s="2"/>
      <c r="C362" s="2"/>
    </row>
    <row r="363" spans="2:3" x14ac:dyDescent="0.25">
      <c r="B363" s="2"/>
      <c r="C363" s="2"/>
    </row>
    <row r="364" spans="2:3" x14ac:dyDescent="0.25">
      <c r="B364" s="2"/>
      <c r="C364" s="2"/>
    </row>
    <row r="365" spans="2:3" x14ac:dyDescent="0.25">
      <c r="B365" s="2"/>
      <c r="C365" s="2"/>
    </row>
    <row r="366" spans="2:3" x14ac:dyDescent="0.25">
      <c r="B366" s="2"/>
      <c r="C366" s="2"/>
    </row>
    <row r="367" spans="2:3" x14ac:dyDescent="0.25">
      <c r="B367" s="2"/>
      <c r="C367" s="2"/>
    </row>
    <row r="368" spans="2:3" x14ac:dyDescent="0.25">
      <c r="B368" s="2"/>
      <c r="C368" s="2"/>
    </row>
    <row r="369" spans="2:3" x14ac:dyDescent="0.25">
      <c r="B369" s="2"/>
      <c r="C369" s="2"/>
    </row>
    <row r="370" spans="2:3" x14ac:dyDescent="0.25">
      <c r="B370" s="2"/>
      <c r="C370" s="2"/>
    </row>
    <row r="371" spans="2:3" x14ac:dyDescent="0.25">
      <c r="B371" s="2"/>
      <c r="C371" s="2"/>
    </row>
    <row r="372" spans="2:3" x14ac:dyDescent="0.25">
      <c r="B372" s="2"/>
      <c r="C372" s="2"/>
    </row>
    <row r="373" spans="2:3" x14ac:dyDescent="0.25">
      <c r="B373" s="2"/>
      <c r="C373" s="2"/>
    </row>
    <row r="374" spans="2:3" x14ac:dyDescent="0.25">
      <c r="B374" s="2"/>
      <c r="C374" s="2"/>
    </row>
    <row r="375" spans="2:3" x14ac:dyDescent="0.25">
      <c r="B375" s="2"/>
      <c r="C375" s="2"/>
    </row>
    <row r="376" spans="2:3" x14ac:dyDescent="0.25">
      <c r="B376" s="2"/>
      <c r="C376" s="2"/>
    </row>
    <row r="377" spans="2:3" x14ac:dyDescent="0.25">
      <c r="B377" s="2"/>
      <c r="C377" s="2"/>
    </row>
    <row r="378" spans="2:3" x14ac:dyDescent="0.25">
      <c r="B378" s="2"/>
      <c r="C378" s="2"/>
    </row>
    <row r="379" spans="2:3" x14ac:dyDescent="0.25">
      <c r="B379" s="2"/>
      <c r="C379" s="2"/>
    </row>
    <row r="380" spans="2:3" x14ac:dyDescent="0.25">
      <c r="B380" s="2"/>
      <c r="C380" s="2"/>
    </row>
    <row r="381" spans="2:3" x14ac:dyDescent="0.25">
      <c r="B381" s="2"/>
      <c r="C381" s="2"/>
    </row>
    <row r="382" spans="2:3" x14ac:dyDescent="0.25">
      <c r="B382" s="2"/>
      <c r="C382" s="2"/>
    </row>
    <row r="383" spans="2:3" x14ac:dyDescent="0.25">
      <c r="B383" s="2"/>
      <c r="C383" s="2"/>
    </row>
    <row r="384" spans="2:3" x14ac:dyDescent="0.25">
      <c r="B384" s="2"/>
      <c r="C384" s="2"/>
    </row>
    <row r="385" spans="2:3" x14ac:dyDescent="0.25">
      <c r="B385" s="2"/>
      <c r="C385" s="2"/>
    </row>
    <row r="386" spans="2:3" x14ac:dyDescent="0.25">
      <c r="B386" s="2"/>
      <c r="C386" s="2"/>
    </row>
    <row r="387" spans="2:3" x14ac:dyDescent="0.25">
      <c r="B387" s="2"/>
      <c r="C387" s="2"/>
    </row>
    <row r="388" spans="2:3" x14ac:dyDescent="0.25">
      <c r="B388" s="2"/>
      <c r="C388" s="2"/>
    </row>
    <row r="389" spans="2:3" x14ac:dyDescent="0.25">
      <c r="B389" s="2"/>
      <c r="C389" s="2"/>
    </row>
    <row r="390" spans="2:3" x14ac:dyDescent="0.25">
      <c r="B390" s="2"/>
      <c r="C390" s="2"/>
    </row>
    <row r="391" spans="2:3" x14ac:dyDescent="0.25">
      <c r="B391" s="2"/>
      <c r="C391" s="2"/>
    </row>
    <row r="392" spans="2:3" x14ac:dyDescent="0.25">
      <c r="B392" s="2"/>
      <c r="C392" s="2"/>
    </row>
    <row r="393" spans="2:3" x14ac:dyDescent="0.25">
      <c r="B393" s="2"/>
      <c r="C393" s="2"/>
    </row>
    <row r="394" spans="2:3" x14ac:dyDescent="0.25">
      <c r="B394" s="2"/>
      <c r="C394" s="2"/>
    </row>
    <row r="395" spans="2:3" x14ac:dyDescent="0.25">
      <c r="B395" s="2"/>
      <c r="C395" s="2"/>
    </row>
    <row r="396" spans="2:3" x14ac:dyDescent="0.25">
      <c r="B396" s="2"/>
      <c r="C396" s="2"/>
    </row>
    <row r="397" spans="2:3" x14ac:dyDescent="0.25">
      <c r="B397" s="2"/>
      <c r="C397" s="2"/>
    </row>
    <row r="398" spans="2:3" x14ac:dyDescent="0.25">
      <c r="B398" s="2"/>
      <c r="C398" s="2"/>
    </row>
    <row r="399" spans="2:3" x14ac:dyDescent="0.25">
      <c r="B399" s="2"/>
      <c r="C399" s="2"/>
    </row>
    <row r="400" spans="2:3" x14ac:dyDescent="0.25">
      <c r="B400" s="2"/>
      <c r="C400" s="2"/>
    </row>
    <row r="401" spans="2:3" x14ac:dyDescent="0.25">
      <c r="B401" s="2"/>
      <c r="C401" s="2"/>
    </row>
    <row r="402" spans="2:3" x14ac:dyDescent="0.25">
      <c r="B402" s="2"/>
      <c r="C402" s="2"/>
    </row>
    <row r="403" spans="2:3" x14ac:dyDescent="0.25">
      <c r="B403" s="2"/>
      <c r="C403" s="2"/>
    </row>
    <row r="404" spans="2:3" x14ac:dyDescent="0.25">
      <c r="B404" s="2"/>
      <c r="C404" s="2"/>
    </row>
    <row r="405" spans="2:3" x14ac:dyDescent="0.25">
      <c r="B405" s="2"/>
      <c r="C405" s="2"/>
    </row>
    <row r="406" spans="2:3" x14ac:dyDescent="0.25">
      <c r="B406" s="2"/>
      <c r="C406" s="2"/>
    </row>
    <row r="407" spans="2:3" x14ac:dyDescent="0.25">
      <c r="B407" s="2"/>
      <c r="C407" s="2"/>
    </row>
    <row r="408" spans="2:3" x14ac:dyDescent="0.25">
      <c r="B408" s="2"/>
      <c r="C408" s="2"/>
    </row>
    <row r="409" spans="2:3" x14ac:dyDescent="0.25">
      <c r="B409" s="2"/>
      <c r="C409" s="2"/>
    </row>
    <row r="410" spans="2:3" x14ac:dyDescent="0.25">
      <c r="B410" s="2"/>
      <c r="C410" s="2"/>
    </row>
    <row r="411" spans="2:3" x14ac:dyDescent="0.25">
      <c r="B411" s="2"/>
      <c r="C411" s="2"/>
    </row>
    <row r="412" spans="2:3" x14ac:dyDescent="0.25">
      <c r="B412" s="2"/>
      <c r="C412" s="2"/>
    </row>
    <row r="413" spans="2:3" x14ac:dyDescent="0.25">
      <c r="B413" s="2"/>
      <c r="C413" s="2"/>
    </row>
    <row r="414" spans="2:3" x14ac:dyDescent="0.25">
      <c r="B414" s="2"/>
      <c r="C414" s="2"/>
    </row>
    <row r="415" spans="2:3" x14ac:dyDescent="0.25">
      <c r="B415" s="2"/>
      <c r="C415" s="2"/>
    </row>
    <row r="416" spans="2:3" x14ac:dyDescent="0.25">
      <c r="B416" s="2"/>
      <c r="C416" s="2"/>
    </row>
    <row r="417" spans="2:3" x14ac:dyDescent="0.25">
      <c r="B417" s="2"/>
      <c r="C417" s="2"/>
    </row>
    <row r="418" spans="2:3" x14ac:dyDescent="0.25">
      <c r="B418" s="2"/>
      <c r="C418" s="2"/>
    </row>
    <row r="419" spans="2:3" x14ac:dyDescent="0.25">
      <c r="B419" s="2"/>
      <c r="C419" s="2"/>
    </row>
    <row r="420" spans="2:3" x14ac:dyDescent="0.25">
      <c r="B420" s="2"/>
      <c r="C420" s="2"/>
    </row>
    <row r="421" spans="2:3" x14ac:dyDescent="0.25">
      <c r="B421" s="2"/>
      <c r="C421" s="2"/>
    </row>
    <row r="422" spans="2:3" x14ac:dyDescent="0.25">
      <c r="B422" s="2"/>
      <c r="C422" s="2"/>
    </row>
    <row r="423" spans="2:3" x14ac:dyDescent="0.25">
      <c r="B423" s="2"/>
      <c r="C423" s="2"/>
    </row>
    <row r="424" spans="2:3" x14ac:dyDescent="0.25">
      <c r="B424" s="2"/>
      <c r="C424" s="2"/>
    </row>
    <row r="425" spans="2:3" x14ac:dyDescent="0.25">
      <c r="B425" s="2"/>
      <c r="C425" s="2"/>
    </row>
    <row r="426" spans="2:3" x14ac:dyDescent="0.25">
      <c r="B426" s="2"/>
      <c r="C426" s="2"/>
    </row>
    <row r="427" spans="2:3" x14ac:dyDescent="0.25">
      <c r="B427" s="2"/>
      <c r="C427" s="2"/>
    </row>
    <row r="428" spans="2:3" x14ac:dyDescent="0.25">
      <c r="B428" s="2"/>
      <c r="C428" s="2"/>
    </row>
    <row r="429" spans="2:3" x14ac:dyDescent="0.25">
      <c r="B429" s="2"/>
      <c r="C429" s="2"/>
    </row>
    <row r="430" spans="2:3" x14ac:dyDescent="0.25">
      <c r="B430" s="2"/>
      <c r="C430" s="2"/>
    </row>
    <row r="431" spans="2:3" x14ac:dyDescent="0.25">
      <c r="B431" s="2"/>
      <c r="C431" s="2"/>
    </row>
    <row r="432" spans="2:3" x14ac:dyDescent="0.25">
      <c r="B432" s="2"/>
      <c r="C432" s="2"/>
    </row>
    <row r="433" spans="2:3" x14ac:dyDescent="0.25">
      <c r="B433" s="2"/>
      <c r="C433" s="2"/>
    </row>
    <row r="434" spans="2:3" x14ac:dyDescent="0.25">
      <c r="B434" s="2"/>
      <c r="C434" s="2"/>
    </row>
    <row r="435" spans="2:3" x14ac:dyDescent="0.25">
      <c r="B435" s="2"/>
      <c r="C435" s="2"/>
    </row>
    <row r="436" spans="2:3" x14ac:dyDescent="0.25">
      <c r="B436" s="2"/>
      <c r="C436" s="2"/>
    </row>
    <row r="437" spans="2:3" x14ac:dyDescent="0.25">
      <c r="B437" s="2"/>
      <c r="C437" s="2"/>
    </row>
    <row r="438" spans="2:3" x14ac:dyDescent="0.25">
      <c r="B438" s="2"/>
      <c r="C438" s="2"/>
    </row>
    <row r="439" spans="2:3" x14ac:dyDescent="0.25">
      <c r="B439" s="2"/>
      <c r="C439" s="2"/>
    </row>
    <row r="440" spans="2:3" x14ac:dyDescent="0.25">
      <c r="B440" s="2"/>
      <c r="C440" s="2"/>
    </row>
    <row r="441" spans="2:3" x14ac:dyDescent="0.25">
      <c r="B441" s="2"/>
      <c r="C441" s="2"/>
    </row>
    <row r="442" spans="2:3" x14ac:dyDescent="0.25">
      <c r="B442" s="2"/>
      <c r="C442" s="2"/>
    </row>
    <row r="443" spans="2:3" x14ac:dyDescent="0.25">
      <c r="B443" s="2"/>
      <c r="C443" s="2"/>
    </row>
    <row r="444" spans="2:3" x14ac:dyDescent="0.25">
      <c r="B444" s="2"/>
      <c r="C444" s="2"/>
    </row>
    <row r="445" spans="2:3" x14ac:dyDescent="0.25">
      <c r="B445" s="2"/>
      <c r="C445" s="2"/>
    </row>
    <row r="446" spans="2:3" x14ac:dyDescent="0.25">
      <c r="B446" s="2"/>
      <c r="C446" s="2"/>
    </row>
    <row r="447" spans="2:3" x14ac:dyDescent="0.25">
      <c r="B447" s="2"/>
      <c r="C447" s="2"/>
    </row>
    <row r="448" spans="2:3" x14ac:dyDescent="0.25">
      <c r="B448" s="2"/>
      <c r="C448" s="2"/>
    </row>
    <row r="449" spans="2:3" x14ac:dyDescent="0.25">
      <c r="B449" s="2"/>
      <c r="C449" s="2"/>
    </row>
    <row r="450" spans="2:3" x14ac:dyDescent="0.25">
      <c r="B450" s="2"/>
      <c r="C450" s="2"/>
    </row>
    <row r="451" spans="2:3" x14ac:dyDescent="0.25">
      <c r="B451" s="2"/>
      <c r="C451" s="2"/>
    </row>
    <row r="452" spans="2:3" x14ac:dyDescent="0.25">
      <c r="B452" s="2"/>
      <c r="C452" s="2"/>
    </row>
    <row r="453" spans="2:3" x14ac:dyDescent="0.25">
      <c r="B453" s="2"/>
      <c r="C453" s="2"/>
    </row>
    <row r="454" spans="2:3" x14ac:dyDescent="0.25">
      <c r="B454" s="2"/>
      <c r="C454" s="2"/>
    </row>
    <row r="455" spans="2:3" x14ac:dyDescent="0.25">
      <c r="B455" s="2"/>
      <c r="C455" s="2"/>
    </row>
    <row r="456" spans="2:3" x14ac:dyDescent="0.25">
      <c r="B456" s="2"/>
      <c r="C456" s="2"/>
    </row>
    <row r="457" spans="2:3" x14ac:dyDescent="0.25">
      <c r="B457" s="2"/>
      <c r="C457" s="2"/>
    </row>
    <row r="458" spans="2:3" x14ac:dyDescent="0.25">
      <c r="B458" s="2"/>
      <c r="C458" s="2"/>
    </row>
    <row r="459" spans="2:3" x14ac:dyDescent="0.25">
      <c r="B459" s="2"/>
      <c r="C459" s="2"/>
    </row>
    <row r="460" spans="2:3" x14ac:dyDescent="0.25">
      <c r="B460" s="2"/>
      <c r="C460" s="2"/>
    </row>
    <row r="461" spans="2:3" x14ac:dyDescent="0.25">
      <c r="B461" s="2"/>
      <c r="C461" s="2"/>
    </row>
    <row r="462" spans="2:3" x14ac:dyDescent="0.25">
      <c r="B462" s="2"/>
      <c r="C462" s="2"/>
    </row>
    <row r="463" spans="2:3" x14ac:dyDescent="0.25">
      <c r="B463" s="2"/>
      <c r="C463" s="2"/>
    </row>
    <row r="464" spans="2:3" x14ac:dyDescent="0.25">
      <c r="B464" s="2"/>
      <c r="C464" s="2"/>
    </row>
    <row r="465" spans="2:3" x14ac:dyDescent="0.25">
      <c r="B465" s="2"/>
      <c r="C465" s="2"/>
    </row>
    <row r="466" spans="2:3" x14ac:dyDescent="0.25">
      <c r="B466" s="2"/>
      <c r="C466" s="2"/>
    </row>
    <row r="467" spans="2:3" x14ac:dyDescent="0.25">
      <c r="B467" s="2"/>
      <c r="C467" s="2"/>
    </row>
    <row r="468" spans="2:3" x14ac:dyDescent="0.25">
      <c r="B468" s="2"/>
      <c r="C468" s="2"/>
    </row>
    <row r="469" spans="2:3" x14ac:dyDescent="0.25">
      <c r="B469" s="2"/>
      <c r="C469" s="2"/>
    </row>
    <row r="470" spans="2:3" x14ac:dyDescent="0.25">
      <c r="B470" s="2"/>
      <c r="C470" s="2"/>
    </row>
    <row r="471" spans="2:3" x14ac:dyDescent="0.25">
      <c r="B471" s="2"/>
      <c r="C471" s="2"/>
    </row>
    <row r="472" spans="2:3" x14ac:dyDescent="0.25">
      <c r="B472" s="2"/>
      <c r="C472" s="2"/>
    </row>
    <row r="473" spans="2:3" x14ac:dyDescent="0.25">
      <c r="B473" s="2"/>
      <c r="C473" s="2"/>
    </row>
    <row r="474" spans="2:3" x14ac:dyDescent="0.25">
      <c r="B474" s="2"/>
      <c r="C474" s="2"/>
    </row>
    <row r="475" spans="2:3" x14ac:dyDescent="0.25">
      <c r="B475" s="2"/>
      <c r="C475" s="2"/>
    </row>
    <row r="476" spans="2:3" x14ac:dyDescent="0.25">
      <c r="B476" s="2"/>
      <c r="C476" s="2"/>
    </row>
    <row r="477" spans="2:3" x14ac:dyDescent="0.25">
      <c r="B477" s="2"/>
      <c r="C477" s="2"/>
    </row>
    <row r="478" spans="2:3" x14ac:dyDescent="0.25">
      <c r="B478" s="2"/>
      <c r="C478" s="2"/>
    </row>
    <row r="479" spans="2:3" x14ac:dyDescent="0.25">
      <c r="B479" s="2"/>
      <c r="C479" s="2"/>
    </row>
    <row r="480" spans="2:3" x14ac:dyDescent="0.25">
      <c r="B480" s="2"/>
      <c r="C480" s="2"/>
    </row>
    <row r="481" spans="2:3" x14ac:dyDescent="0.25">
      <c r="B481" s="2"/>
      <c r="C481" s="2"/>
    </row>
    <row r="482" spans="2:3" x14ac:dyDescent="0.25">
      <c r="B482" s="2"/>
      <c r="C482" s="2"/>
    </row>
    <row r="483" spans="2:3" x14ac:dyDescent="0.25">
      <c r="B483" s="2"/>
      <c r="C483" s="2"/>
    </row>
    <row r="484" spans="2:3" x14ac:dyDescent="0.25">
      <c r="B484" s="2"/>
      <c r="C484" s="2"/>
    </row>
    <row r="485" spans="2:3" x14ac:dyDescent="0.25">
      <c r="B485" s="2"/>
      <c r="C485" s="2"/>
    </row>
    <row r="486" spans="2:3" x14ac:dyDescent="0.25">
      <c r="B486" s="2"/>
      <c r="C486" s="2"/>
    </row>
    <row r="487" spans="2:3" x14ac:dyDescent="0.25">
      <c r="B487" s="2"/>
      <c r="C487" s="2"/>
    </row>
    <row r="488" spans="2:3" x14ac:dyDescent="0.25">
      <c r="B488" s="2"/>
      <c r="C488" s="2"/>
    </row>
    <row r="489" spans="2:3" x14ac:dyDescent="0.25">
      <c r="B489" s="2"/>
      <c r="C489" s="2"/>
    </row>
    <row r="490" spans="2:3" x14ac:dyDescent="0.25">
      <c r="B490" s="2"/>
      <c r="C490" s="2"/>
    </row>
    <row r="491" spans="2:3" x14ac:dyDescent="0.25">
      <c r="B491" s="2"/>
      <c r="C491" s="2"/>
    </row>
    <row r="492" spans="2:3" x14ac:dyDescent="0.25">
      <c r="B492" s="2"/>
      <c r="C492" s="2"/>
    </row>
    <row r="493" spans="2:3" x14ac:dyDescent="0.25">
      <c r="B493" s="2"/>
      <c r="C493" s="2"/>
    </row>
    <row r="494" spans="2:3" x14ac:dyDescent="0.25">
      <c r="B494" s="2"/>
      <c r="C494" s="2"/>
    </row>
    <row r="495" spans="2:3" x14ac:dyDescent="0.25">
      <c r="B495" s="2"/>
      <c r="C495" s="2"/>
    </row>
    <row r="496" spans="2:3" x14ac:dyDescent="0.25">
      <c r="B496" s="2"/>
      <c r="C496" s="2"/>
    </row>
    <row r="497" spans="2:3" x14ac:dyDescent="0.25">
      <c r="B497" s="2"/>
      <c r="C497" s="2"/>
    </row>
    <row r="498" spans="2:3" x14ac:dyDescent="0.25">
      <c r="B498" s="2"/>
      <c r="C498" s="2"/>
    </row>
    <row r="499" spans="2:3" x14ac:dyDescent="0.25">
      <c r="B499" s="2"/>
      <c r="C499" s="2"/>
    </row>
    <row r="500" spans="2:3" x14ac:dyDescent="0.25">
      <c r="B500" s="2"/>
      <c r="C500" s="2"/>
    </row>
    <row r="501" spans="2:3" x14ac:dyDescent="0.25">
      <c r="B501" s="2"/>
      <c r="C501" s="2"/>
    </row>
    <row r="502" spans="2:3" x14ac:dyDescent="0.25">
      <c r="B502" s="2"/>
      <c r="C502" s="2"/>
    </row>
    <row r="503" spans="2:3" x14ac:dyDescent="0.25">
      <c r="B503" s="2"/>
      <c r="C503" s="2"/>
    </row>
    <row r="504" spans="2:3" x14ac:dyDescent="0.25">
      <c r="B504" s="2"/>
      <c r="C504" s="2"/>
    </row>
    <row r="505" spans="2:3" x14ac:dyDescent="0.25">
      <c r="B505" s="2"/>
      <c r="C505" s="2"/>
    </row>
    <row r="506" spans="2:3" x14ac:dyDescent="0.25">
      <c r="B506" s="2"/>
      <c r="C506" s="2"/>
    </row>
    <row r="507" spans="2:3" x14ac:dyDescent="0.25">
      <c r="B507" s="2"/>
      <c r="C507" s="2"/>
    </row>
    <row r="508" spans="2:3" x14ac:dyDescent="0.25">
      <c r="B508" s="2"/>
      <c r="C508" s="2"/>
    </row>
    <row r="509" spans="2:3" x14ac:dyDescent="0.25">
      <c r="B509" s="2"/>
      <c r="C509" s="2"/>
    </row>
    <row r="510" spans="2:3" x14ac:dyDescent="0.25">
      <c r="B510" s="2"/>
      <c r="C510" s="2"/>
    </row>
    <row r="511" spans="2:3" x14ac:dyDescent="0.25">
      <c r="B511" s="2"/>
      <c r="C511" s="2"/>
    </row>
    <row r="512" spans="2:3" x14ac:dyDescent="0.25">
      <c r="B512" s="2"/>
      <c r="C512" s="2"/>
    </row>
    <row r="513" spans="2:3" x14ac:dyDescent="0.25">
      <c r="B513" s="2"/>
      <c r="C513" s="2"/>
    </row>
    <row r="514" spans="2:3" x14ac:dyDescent="0.25">
      <c r="B514" s="2"/>
      <c r="C514" s="2"/>
    </row>
    <row r="515" spans="2:3" x14ac:dyDescent="0.25">
      <c r="B515" s="2"/>
      <c r="C515" s="2"/>
    </row>
    <row r="516" spans="2:3" x14ac:dyDescent="0.25">
      <c r="B516" s="2"/>
      <c r="C516" s="2"/>
    </row>
    <row r="517" spans="2:3" x14ac:dyDescent="0.25">
      <c r="B517" s="2"/>
      <c r="C517" s="2"/>
    </row>
    <row r="518" spans="2:3" x14ac:dyDescent="0.25">
      <c r="B518" s="2"/>
      <c r="C518" s="2"/>
    </row>
    <row r="519" spans="2:3" x14ac:dyDescent="0.25">
      <c r="B519" s="2"/>
      <c r="C519" s="2"/>
    </row>
    <row r="520" spans="2:3" x14ac:dyDescent="0.25">
      <c r="B520" s="2"/>
      <c r="C520" s="2"/>
    </row>
    <row r="521" spans="2:3" x14ac:dyDescent="0.25">
      <c r="B521" s="2"/>
      <c r="C521" s="2"/>
    </row>
    <row r="522" spans="2:3" x14ac:dyDescent="0.25">
      <c r="B522" s="2"/>
      <c r="C522" s="2"/>
    </row>
    <row r="523" spans="2:3" x14ac:dyDescent="0.25">
      <c r="B523" s="2"/>
      <c r="C523" s="2"/>
    </row>
    <row r="524" spans="2:3" x14ac:dyDescent="0.25">
      <c r="B524" s="2"/>
      <c r="C524" s="2"/>
    </row>
    <row r="525" spans="2:3" x14ac:dyDescent="0.25">
      <c r="B525" s="2"/>
      <c r="C525" s="2"/>
    </row>
    <row r="526" spans="2:3" x14ac:dyDescent="0.25">
      <c r="B526" s="2"/>
      <c r="C526" s="2"/>
    </row>
    <row r="527" spans="2:3" x14ac:dyDescent="0.25">
      <c r="B527" s="2"/>
      <c r="C527" s="2"/>
    </row>
    <row r="528" spans="2:3" x14ac:dyDescent="0.25">
      <c r="B528" s="2"/>
      <c r="C528" s="2"/>
    </row>
    <row r="529" spans="2:3" x14ac:dyDescent="0.25">
      <c r="B529" s="2"/>
      <c r="C529" s="2"/>
    </row>
    <row r="530" spans="2:3" x14ac:dyDescent="0.25">
      <c r="B530" s="2"/>
      <c r="C530" s="2"/>
    </row>
    <row r="531" spans="2:3" x14ac:dyDescent="0.25">
      <c r="B531" s="2"/>
      <c r="C531" s="2"/>
    </row>
    <row r="532" spans="2:3" x14ac:dyDescent="0.25">
      <c r="B532" s="2"/>
      <c r="C532" s="2"/>
    </row>
    <row r="533" spans="2:3" x14ac:dyDescent="0.25">
      <c r="B533" s="2"/>
      <c r="C533" s="2"/>
    </row>
    <row r="534" spans="2:3" x14ac:dyDescent="0.25">
      <c r="B534" s="2"/>
      <c r="C534" s="2"/>
    </row>
    <row r="535" spans="2:3" x14ac:dyDescent="0.25">
      <c r="B535" s="2"/>
      <c r="C535" s="2"/>
    </row>
    <row r="536" spans="2:3" x14ac:dyDescent="0.25">
      <c r="B536" s="2"/>
      <c r="C536" s="2"/>
    </row>
    <row r="537" spans="2:3" x14ac:dyDescent="0.25">
      <c r="B537" s="2"/>
      <c r="C537" s="2"/>
    </row>
    <row r="538" spans="2:3" x14ac:dyDescent="0.25">
      <c r="B538" s="2"/>
      <c r="C538" s="2"/>
    </row>
    <row r="539" spans="2:3" x14ac:dyDescent="0.25">
      <c r="B539" s="2"/>
      <c r="C539" s="2"/>
    </row>
    <row r="540" spans="2:3" x14ac:dyDescent="0.25">
      <c r="B540" s="2"/>
      <c r="C540" s="2"/>
    </row>
    <row r="541" spans="2:3" x14ac:dyDescent="0.25">
      <c r="B541" s="2"/>
      <c r="C541" s="2"/>
    </row>
    <row r="542" spans="2:3" x14ac:dyDescent="0.25">
      <c r="B542" s="2"/>
      <c r="C542" s="2"/>
    </row>
    <row r="543" spans="2:3" x14ac:dyDescent="0.25">
      <c r="B543" s="2"/>
      <c r="C543" s="2"/>
    </row>
    <row r="544" spans="2:3" x14ac:dyDescent="0.25">
      <c r="B544" s="2"/>
      <c r="C544" s="2"/>
    </row>
    <row r="545" spans="2:3" x14ac:dyDescent="0.25">
      <c r="B545" s="2"/>
      <c r="C545" s="2"/>
    </row>
    <row r="546" spans="2:3" x14ac:dyDescent="0.25">
      <c r="B546" s="2"/>
      <c r="C546" s="2"/>
    </row>
    <row r="547" spans="2:3" x14ac:dyDescent="0.25">
      <c r="B547" s="2"/>
      <c r="C547" s="2"/>
    </row>
    <row r="548" spans="2:3" x14ac:dyDescent="0.25">
      <c r="B548" s="2"/>
      <c r="C548" s="2"/>
    </row>
    <row r="549" spans="2:3" x14ac:dyDescent="0.25">
      <c r="B549" s="2"/>
      <c r="C549" s="2"/>
    </row>
    <row r="550" spans="2:3" x14ac:dyDescent="0.25">
      <c r="B550" s="2"/>
      <c r="C550" s="2"/>
    </row>
    <row r="551" spans="2:3" x14ac:dyDescent="0.25">
      <c r="B551" s="2"/>
      <c r="C551" s="2"/>
    </row>
    <row r="552" spans="2:3" x14ac:dyDescent="0.25">
      <c r="B552" s="2"/>
      <c r="C552" s="2"/>
    </row>
    <row r="553" spans="2:3" x14ac:dyDescent="0.25">
      <c r="B553" s="2"/>
      <c r="C553" s="2"/>
    </row>
    <row r="554" spans="2:3" x14ac:dyDescent="0.25">
      <c r="B554" s="2"/>
      <c r="C554" s="2"/>
    </row>
    <row r="555" spans="2:3" x14ac:dyDescent="0.25">
      <c r="B555" s="2"/>
      <c r="C555" s="2"/>
    </row>
    <row r="556" spans="2:3" x14ac:dyDescent="0.25">
      <c r="B556" s="2"/>
      <c r="C556" s="2"/>
    </row>
    <row r="557" spans="2:3" x14ac:dyDescent="0.25">
      <c r="B557" s="2"/>
      <c r="C557" s="2"/>
    </row>
    <row r="558" spans="2:3" x14ac:dyDescent="0.25">
      <c r="B558" s="2"/>
      <c r="C558" s="2"/>
    </row>
    <row r="559" spans="2:3" x14ac:dyDescent="0.25">
      <c r="B559" s="2"/>
      <c r="C559" s="2"/>
    </row>
    <row r="560" spans="2:3" x14ac:dyDescent="0.25">
      <c r="B560" s="2"/>
      <c r="C560" s="2"/>
    </row>
    <row r="561" spans="2:3" x14ac:dyDescent="0.25">
      <c r="B561" s="2"/>
      <c r="C561" s="2"/>
    </row>
    <row r="562" spans="2:3" x14ac:dyDescent="0.25">
      <c r="B562" s="2"/>
      <c r="C562" s="2"/>
    </row>
    <row r="563" spans="2:3" x14ac:dyDescent="0.25">
      <c r="B563" s="2"/>
      <c r="C563" s="2"/>
    </row>
    <row r="564" spans="2:3" x14ac:dyDescent="0.25">
      <c r="B564" s="2"/>
      <c r="C564" s="2"/>
    </row>
    <row r="565" spans="2:3" x14ac:dyDescent="0.25">
      <c r="B565" s="2"/>
      <c r="C565" s="2"/>
    </row>
    <row r="566" spans="2:3" x14ac:dyDescent="0.25">
      <c r="B566" s="2"/>
      <c r="C566" s="2"/>
    </row>
    <row r="567" spans="2:3" x14ac:dyDescent="0.25">
      <c r="B567" s="2"/>
      <c r="C567" s="2"/>
    </row>
    <row r="568" spans="2:3" x14ac:dyDescent="0.25">
      <c r="B568" s="2"/>
      <c r="C568" s="2"/>
    </row>
    <row r="569" spans="2:3" x14ac:dyDescent="0.25">
      <c r="B569" s="2"/>
      <c r="C569" s="2"/>
    </row>
    <row r="570" spans="2:3" x14ac:dyDescent="0.25">
      <c r="B570" s="2"/>
      <c r="C570" s="2"/>
    </row>
    <row r="571" spans="2:3" x14ac:dyDescent="0.25">
      <c r="B571" s="2"/>
      <c r="C571" s="2"/>
    </row>
    <row r="572" spans="2:3" x14ac:dyDescent="0.25">
      <c r="B572" s="2"/>
      <c r="C572" s="2"/>
    </row>
    <row r="573" spans="2:3" x14ac:dyDescent="0.25">
      <c r="B573" s="2"/>
      <c r="C573" s="2"/>
    </row>
    <row r="574" spans="2:3" x14ac:dyDescent="0.25">
      <c r="B574" s="2"/>
      <c r="C574" s="2"/>
    </row>
    <row r="575" spans="2:3" x14ac:dyDescent="0.25">
      <c r="B575" s="2"/>
      <c r="C575" s="2"/>
    </row>
    <row r="576" spans="2:3" x14ac:dyDescent="0.25">
      <c r="B576" s="2"/>
      <c r="C576" s="2"/>
    </row>
    <row r="577" spans="2:3" x14ac:dyDescent="0.25">
      <c r="B577" s="2"/>
      <c r="C577" s="2"/>
    </row>
    <row r="578" spans="2:3" x14ac:dyDescent="0.25">
      <c r="B578" s="2"/>
      <c r="C578" s="2"/>
    </row>
    <row r="579" spans="2:3" x14ac:dyDescent="0.25">
      <c r="B579" s="2"/>
      <c r="C579" s="2"/>
    </row>
    <row r="580" spans="2:3" x14ac:dyDescent="0.25">
      <c r="B580" s="2"/>
      <c r="C580" s="2"/>
    </row>
    <row r="581" spans="2:3" x14ac:dyDescent="0.25">
      <c r="B581" s="2"/>
      <c r="C581" s="2"/>
    </row>
    <row r="582" spans="2:3" x14ac:dyDescent="0.25">
      <c r="B582" s="2"/>
      <c r="C582" s="2"/>
    </row>
    <row r="583" spans="2:3" x14ac:dyDescent="0.25">
      <c r="B583" s="2"/>
      <c r="C583" s="2"/>
    </row>
    <row r="584" spans="2:3" x14ac:dyDescent="0.25">
      <c r="B584" s="2"/>
      <c r="C584" s="2"/>
    </row>
    <row r="585" spans="2:3" x14ac:dyDescent="0.25">
      <c r="B585" s="2"/>
      <c r="C585" s="2"/>
    </row>
    <row r="586" spans="2:3" x14ac:dyDescent="0.25">
      <c r="B586" s="2"/>
      <c r="C586" s="2"/>
    </row>
    <row r="587" spans="2:3" x14ac:dyDescent="0.25">
      <c r="B587" s="2"/>
      <c r="C587" s="2"/>
    </row>
    <row r="588" spans="2:3" x14ac:dyDescent="0.25">
      <c r="B588" s="2"/>
      <c r="C588" s="2"/>
    </row>
    <row r="589" spans="2:3" x14ac:dyDescent="0.25">
      <c r="B589" s="2"/>
      <c r="C589" s="2"/>
    </row>
    <row r="590" spans="2:3" x14ac:dyDescent="0.25">
      <c r="B590" s="2"/>
      <c r="C590" s="2"/>
    </row>
    <row r="591" spans="2:3" x14ac:dyDescent="0.25">
      <c r="B591" s="2"/>
      <c r="C591" s="2"/>
    </row>
    <row r="592" spans="2:3" x14ac:dyDescent="0.25">
      <c r="B592" s="2"/>
      <c r="C592" s="2"/>
    </row>
    <row r="593" spans="2:3" x14ac:dyDescent="0.25">
      <c r="B593" s="2"/>
      <c r="C593" s="2"/>
    </row>
    <row r="594" spans="2:3" x14ac:dyDescent="0.25">
      <c r="B594" s="2"/>
      <c r="C594" s="2"/>
    </row>
    <row r="595" spans="2:3" x14ac:dyDescent="0.25">
      <c r="B595" s="2"/>
      <c r="C595" s="2"/>
    </row>
    <row r="596" spans="2:3" x14ac:dyDescent="0.25">
      <c r="B596" s="2"/>
      <c r="C596" s="2"/>
    </row>
    <row r="597" spans="2:3" x14ac:dyDescent="0.25">
      <c r="B597" s="2"/>
      <c r="C597" s="2"/>
    </row>
    <row r="598" spans="2:3" x14ac:dyDescent="0.25">
      <c r="B598" s="2"/>
      <c r="C598" s="2"/>
    </row>
    <row r="599" spans="2:3" x14ac:dyDescent="0.25">
      <c r="B599" s="2"/>
      <c r="C599" s="2"/>
    </row>
    <row r="600" spans="2:3" x14ac:dyDescent="0.25">
      <c r="B600" s="2"/>
      <c r="C600" s="2"/>
    </row>
    <row r="601" spans="2:3" x14ac:dyDescent="0.25">
      <c r="B601" s="2"/>
      <c r="C601" s="2"/>
    </row>
    <row r="602" spans="2:3" x14ac:dyDescent="0.25">
      <c r="B602" s="2"/>
      <c r="C602" s="2"/>
    </row>
    <row r="603" spans="2:3" x14ac:dyDescent="0.25">
      <c r="B603" s="2"/>
      <c r="C603" s="2"/>
    </row>
    <row r="604" spans="2:3" x14ac:dyDescent="0.25">
      <c r="B604" s="2"/>
      <c r="C604" s="2"/>
    </row>
    <row r="605" spans="2:3" x14ac:dyDescent="0.25">
      <c r="B605" s="2"/>
      <c r="C605" s="2"/>
    </row>
    <row r="606" spans="2:3" x14ac:dyDescent="0.25">
      <c r="B606" s="2"/>
      <c r="C606" s="2"/>
    </row>
    <row r="607" spans="2:3" x14ac:dyDescent="0.25">
      <c r="B607" s="2"/>
      <c r="C607" s="2"/>
    </row>
    <row r="608" spans="2:3" x14ac:dyDescent="0.25">
      <c r="B608" s="2"/>
      <c r="C608" s="2"/>
    </row>
    <row r="609" spans="2:3" x14ac:dyDescent="0.25">
      <c r="B609" s="2"/>
      <c r="C609" s="2"/>
    </row>
    <row r="610" spans="2:3" x14ac:dyDescent="0.25">
      <c r="B610" s="2"/>
      <c r="C610" s="2"/>
    </row>
    <row r="611" spans="2:3" x14ac:dyDescent="0.25">
      <c r="B611" s="2"/>
      <c r="C611" s="2"/>
    </row>
    <row r="612" spans="2:3" x14ac:dyDescent="0.25">
      <c r="B612" s="2"/>
      <c r="C612" s="2"/>
    </row>
    <row r="613" spans="2:3" x14ac:dyDescent="0.25">
      <c r="B613" s="2"/>
      <c r="C613" s="2"/>
    </row>
    <row r="614" spans="2:3" x14ac:dyDescent="0.25">
      <c r="B614" s="2"/>
      <c r="C614" s="2"/>
    </row>
    <row r="615" spans="2:3" x14ac:dyDescent="0.25">
      <c r="B615" s="2"/>
      <c r="C615" s="2"/>
    </row>
    <row r="616" spans="2:3" x14ac:dyDescent="0.25">
      <c r="B616" s="2"/>
      <c r="C616" s="2"/>
    </row>
    <row r="617" spans="2:3" x14ac:dyDescent="0.25">
      <c r="B617" s="2"/>
      <c r="C617" s="2"/>
    </row>
    <row r="618" spans="2:3" x14ac:dyDescent="0.25">
      <c r="B618" s="2"/>
      <c r="C618" s="2"/>
    </row>
    <row r="619" spans="2:3" x14ac:dyDescent="0.25">
      <c r="B619" s="2"/>
      <c r="C619" s="2"/>
    </row>
    <row r="620" spans="2:3" x14ac:dyDescent="0.25">
      <c r="B620" s="2"/>
      <c r="C620" s="2"/>
    </row>
    <row r="621" spans="2:3" x14ac:dyDescent="0.25">
      <c r="B621" s="2"/>
      <c r="C621" s="2"/>
    </row>
    <row r="622" spans="2:3" x14ac:dyDescent="0.25">
      <c r="B622" s="2"/>
      <c r="C622" s="2"/>
    </row>
    <row r="623" spans="2:3" x14ac:dyDescent="0.25">
      <c r="B623" s="2"/>
      <c r="C623" s="2"/>
    </row>
    <row r="624" spans="2:3" x14ac:dyDescent="0.25">
      <c r="B624" s="2"/>
      <c r="C624" s="2"/>
    </row>
    <row r="625" spans="2:3" x14ac:dyDescent="0.25">
      <c r="B625" s="2"/>
      <c r="C625" s="2"/>
    </row>
    <row r="626" spans="2:3" x14ac:dyDescent="0.25">
      <c r="B626" s="2"/>
      <c r="C626" s="2"/>
    </row>
  </sheetData>
  <mergeCells count="16">
    <mergeCell ref="F2:M2"/>
    <mergeCell ref="B4:B7"/>
    <mergeCell ref="A4:A7"/>
    <mergeCell ref="Q1:S1"/>
    <mergeCell ref="J4:P4"/>
    <mergeCell ref="D4:I4"/>
    <mergeCell ref="J5:K6"/>
    <mergeCell ref="L5:N5"/>
    <mergeCell ref="N6:N7"/>
    <mergeCell ref="O5:P6"/>
    <mergeCell ref="L6:M6"/>
    <mergeCell ref="Q4:R6"/>
    <mergeCell ref="S4:S7"/>
    <mergeCell ref="D5:E6"/>
    <mergeCell ref="F5:G6"/>
    <mergeCell ref="H5:I6"/>
  </mergeCells>
  <pageMargins left="0.23622047244094491" right="0.23622047244094491" top="0.74803149606299213" bottom="0.74803149606299213" header="0.31496062992125984" footer="0.31496062992125984"/>
  <pageSetup paperSize="9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abSelected="1" zoomScale="83" zoomScaleNormal="83" workbookViewId="0">
      <pane xSplit="2" ySplit="7" topLeftCell="C38" activePane="bottomRight" state="frozen"/>
      <selection pane="topRight" activeCell="C1" sqref="C1"/>
      <selection pane="bottomLeft" activeCell="A8" sqref="A8"/>
      <selection pane="bottomRight" activeCell="B41" sqref="B41"/>
    </sheetView>
  </sheetViews>
  <sheetFormatPr defaultColWidth="9.140625" defaultRowHeight="15" x14ac:dyDescent="0.25"/>
  <cols>
    <col min="1" max="1" width="4.28515625" style="2" customWidth="1"/>
    <col min="2" max="2" width="55.85546875" style="2" customWidth="1"/>
    <col min="3" max="3" width="15.85546875" style="2" hidden="1" customWidth="1"/>
    <col min="4" max="4" width="16" style="2" customWidth="1"/>
    <col min="5" max="5" width="20.28515625" style="95" customWidth="1"/>
    <col min="6" max="6" width="21.5703125" style="2" bestFit="1" customWidth="1"/>
    <col min="7" max="7" width="26" style="2" customWidth="1"/>
    <col min="8" max="8" width="23.28515625" style="2" customWidth="1"/>
    <col min="9" max="9" width="18.42578125" style="2" customWidth="1"/>
    <col min="10" max="10" width="18.140625" style="2" customWidth="1"/>
    <col min="11" max="11" width="24.140625" style="2" customWidth="1"/>
    <col min="12" max="12" width="13.85546875" style="30" customWidth="1"/>
    <col min="13" max="16384" width="9.140625" style="2"/>
  </cols>
  <sheetData>
    <row r="1" spans="1:12" ht="15.75" x14ac:dyDescent="0.25">
      <c r="K1" s="46" t="s">
        <v>138</v>
      </c>
      <c r="L1" s="47"/>
    </row>
    <row r="2" spans="1:12" ht="43.5" customHeight="1" x14ac:dyDescent="0.25">
      <c r="D2" s="101" t="s">
        <v>144</v>
      </c>
      <c r="E2" s="101"/>
      <c r="F2" s="101"/>
      <c r="G2" s="101"/>
      <c r="H2" s="101"/>
    </row>
    <row r="4" spans="1:12" x14ac:dyDescent="0.25">
      <c r="A4" s="129" t="s">
        <v>80</v>
      </c>
      <c r="B4" s="129" t="s">
        <v>81</v>
      </c>
      <c r="C4" s="129" t="s">
        <v>82</v>
      </c>
      <c r="D4" s="129" t="s">
        <v>82</v>
      </c>
      <c r="E4" s="132" t="s">
        <v>83</v>
      </c>
      <c r="F4" s="133"/>
      <c r="G4" s="133"/>
      <c r="H4" s="133"/>
      <c r="I4" s="133"/>
      <c r="J4" s="133"/>
      <c r="K4" s="134"/>
      <c r="L4" s="29"/>
    </row>
    <row r="5" spans="1:12" x14ac:dyDescent="0.25">
      <c r="A5" s="130"/>
      <c r="B5" s="130"/>
      <c r="C5" s="130"/>
      <c r="D5" s="130"/>
      <c r="E5" s="135" t="s">
        <v>0</v>
      </c>
      <c r="F5" s="138" t="s">
        <v>84</v>
      </c>
      <c r="G5" s="138"/>
      <c r="H5" s="138"/>
      <c r="I5" s="138"/>
      <c r="J5" s="138"/>
      <c r="K5" s="139" t="s">
        <v>85</v>
      </c>
      <c r="L5" s="29"/>
    </row>
    <row r="6" spans="1:12" ht="15" customHeight="1" x14ac:dyDescent="0.25">
      <c r="A6" s="130"/>
      <c r="B6" s="130"/>
      <c r="C6" s="130"/>
      <c r="D6" s="130"/>
      <c r="E6" s="136"/>
      <c r="F6" s="138"/>
      <c r="G6" s="138"/>
      <c r="H6" s="138"/>
      <c r="I6" s="138"/>
      <c r="J6" s="138"/>
      <c r="K6" s="140"/>
      <c r="L6" s="29"/>
    </row>
    <row r="7" spans="1:12" ht="63.75" x14ac:dyDescent="0.25">
      <c r="A7" s="131"/>
      <c r="B7" s="131"/>
      <c r="C7" s="131"/>
      <c r="D7" s="131"/>
      <c r="E7" s="137"/>
      <c r="F7" s="37" t="s">
        <v>11</v>
      </c>
      <c r="G7" s="37" t="s">
        <v>130</v>
      </c>
      <c r="H7" s="37" t="s">
        <v>136</v>
      </c>
      <c r="I7" s="37" t="s">
        <v>86</v>
      </c>
      <c r="J7" s="37" t="s">
        <v>87</v>
      </c>
      <c r="K7" s="141"/>
      <c r="L7" s="29" t="s">
        <v>143</v>
      </c>
    </row>
    <row r="8" spans="1:12" ht="30" x14ac:dyDescent="0.25">
      <c r="A8" s="36">
        <v>1</v>
      </c>
      <c r="B8" s="34" t="s">
        <v>14</v>
      </c>
      <c r="C8" s="36">
        <v>98</v>
      </c>
      <c r="D8" s="36">
        <v>137</v>
      </c>
      <c r="E8" s="96">
        <f>SUM(F8:J8)</f>
        <v>13361.654180000001</v>
      </c>
      <c r="F8" s="21">
        <v>9440.3227800000004</v>
      </c>
      <c r="G8" s="21">
        <v>0</v>
      </c>
      <c r="H8" s="21">
        <v>2561.9712</v>
      </c>
      <c r="I8" s="21">
        <f>'Форма 1'!O8</f>
        <v>0</v>
      </c>
      <c r="J8" s="21">
        <v>1359.3602000000001</v>
      </c>
      <c r="K8" s="21">
        <v>29388.477939999997</v>
      </c>
      <c r="L8" s="48">
        <f>(E8-K8)/E8*100</f>
        <v>-119.94640442041431</v>
      </c>
    </row>
    <row r="9" spans="1:12" x14ac:dyDescent="0.25">
      <c r="A9" s="36">
        <v>2</v>
      </c>
      <c r="B9" s="34" t="s">
        <v>15</v>
      </c>
      <c r="C9" s="36">
        <v>67</v>
      </c>
      <c r="D9" s="36">
        <v>118</v>
      </c>
      <c r="E9" s="96">
        <f>SUM(F9:J9)</f>
        <v>10060.544519999999</v>
      </c>
      <c r="F9" s="21">
        <v>7178.0909799999999</v>
      </c>
      <c r="G9" s="21">
        <v>0</v>
      </c>
      <c r="H9" s="21">
        <v>1757.933</v>
      </c>
      <c r="I9" s="21">
        <v>0</v>
      </c>
      <c r="J9" s="21">
        <v>1124.52054</v>
      </c>
      <c r="K9" s="21">
        <v>14799.075080000002</v>
      </c>
      <c r="L9" s="48">
        <f t="shared" ref="L9:L69" si="0">(E9-K9)/E9*100</f>
        <v>-47.100140062796555</v>
      </c>
    </row>
    <row r="10" spans="1:12" x14ac:dyDescent="0.25">
      <c r="A10" s="36">
        <v>3</v>
      </c>
      <c r="B10" s="34" t="s">
        <v>16</v>
      </c>
      <c r="C10" s="36">
        <v>100</v>
      </c>
      <c r="D10" s="36">
        <v>149</v>
      </c>
      <c r="E10" s="96">
        <f t="shared" ref="E10:E69" si="1">SUM(F10:J10)</f>
        <v>17471.590340000002</v>
      </c>
      <c r="F10" s="21">
        <v>9963.0964899999999</v>
      </c>
      <c r="G10" s="21">
        <v>0</v>
      </c>
      <c r="H10" s="21">
        <v>5910.4849999999997</v>
      </c>
      <c r="I10" s="21">
        <v>0</v>
      </c>
      <c r="J10" s="21">
        <v>1598.0088500000002</v>
      </c>
      <c r="K10" s="21">
        <v>30773.661530000001</v>
      </c>
      <c r="L10" s="48">
        <f t="shared" si="0"/>
        <v>-76.135434331617901</v>
      </c>
    </row>
    <row r="11" spans="1:12" x14ac:dyDescent="0.25">
      <c r="A11" s="36">
        <v>4</v>
      </c>
      <c r="B11" s="34" t="s">
        <v>17</v>
      </c>
      <c r="C11" s="36">
        <v>127</v>
      </c>
      <c r="D11" s="36">
        <v>125</v>
      </c>
      <c r="E11" s="96">
        <f t="shared" si="1"/>
        <v>12429.115400000001</v>
      </c>
      <c r="F11" s="21">
        <v>8800.5702900000015</v>
      </c>
      <c r="G11" s="21">
        <v>0</v>
      </c>
      <c r="H11" s="21">
        <v>1657.6120000000001</v>
      </c>
      <c r="I11" s="21">
        <v>0</v>
      </c>
      <c r="J11" s="21">
        <v>1970.9331099999999</v>
      </c>
      <c r="K11" s="21">
        <v>15732.723089999998</v>
      </c>
      <c r="L11" s="48">
        <f t="shared" si="0"/>
        <v>-26.579588198207549</v>
      </c>
    </row>
    <row r="12" spans="1:12" ht="30" x14ac:dyDescent="0.25">
      <c r="A12" s="36">
        <v>5</v>
      </c>
      <c r="B12" s="34" t="s">
        <v>18</v>
      </c>
      <c r="C12" s="36">
        <v>157</v>
      </c>
      <c r="D12" s="36">
        <v>268</v>
      </c>
      <c r="E12" s="96">
        <f t="shared" si="1"/>
        <v>40717.857429999996</v>
      </c>
      <c r="F12" s="21">
        <v>20469.796699999999</v>
      </c>
      <c r="G12" s="21">
        <v>0</v>
      </c>
      <c r="H12" s="21">
        <v>16990.848750000001</v>
      </c>
      <c r="I12" s="21">
        <v>0</v>
      </c>
      <c r="J12" s="21">
        <v>3257.21198</v>
      </c>
      <c r="K12" s="21">
        <v>61853.873930000002</v>
      </c>
      <c r="L12" s="48">
        <f t="shared" si="0"/>
        <v>-51.908469241869945</v>
      </c>
    </row>
    <row r="13" spans="1:12" ht="30" x14ac:dyDescent="0.25">
      <c r="A13" s="36">
        <v>6</v>
      </c>
      <c r="B13" s="34" t="s">
        <v>19</v>
      </c>
      <c r="C13" s="36">
        <v>180</v>
      </c>
      <c r="D13" s="36">
        <v>254</v>
      </c>
      <c r="E13" s="96">
        <f t="shared" si="1"/>
        <v>21430.855619999995</v>
      </c>
      <c r="F13" s="21">
        <v>15287.641549999998</v>
      </c>
      <c r="G13" s="21">
        <v>0</v>
      </c>
      <c r="H13" s="21">
        <v>3570.6502</v>
      </c>
      <c r="I13" s="21">
        <v>0</v>
      </c>
      <c r="J13" s="21">
        <v>2572.56387</v>
      </c>
      <c r="K13" s="21">
        <v>32005.76973</v>
      </c>
      <c r="L13" s="48">
        <f t="shared" si="0"/>
        <v>-49.344339290546756</v>
      </c>
    </row>
    <row r="14" spans="1:12" x14ac:dyDescent="0.25">
      <c r="A14" s="36">
        <v>7</v>
      </c>
      <c r="B14" s="34" t="s">
        <v>20</v>
      </c>
      <c r="C14" s="36">
        <f>230+80</f>
        <v>310</v>
      </c>
      <c r="D14" s="36">
        <v>342</v>
      </c>
      <c r="E14" s="96">
        <f t="shared" si="1"/>
        <v>30508.412839999997</v>
      </c>
      <c r="F14" s="21">
        <v>23987.09506</v>
      </c>
      <c r="G14" s="21">
        <v>0</v>
      </c>
      <c r="H14" s="21">
        <v>5286.3914999999997</v>
      </c>
      <c r="I14" s="21">
        <v>0</v>
      </c>
      <c r="J14" s="21">
        <v>1234.9262800000001</v>
      </c>
      <c r="K14" s="21">
        <v>81640.418209999989</v>
      </c>
      <c r="L14" s="48">
        <f t="shared" si="0"/>
        <v>-167.59969008600842</v>
      </c>
    </row>
    <row r="15" spans="1:12" x14ac:dyDescent="0.25">
      <c r="A15" s="36">
        <v>8</v>
      </c>
      <c r="B15" s="34" t="s">
        <v>21</v>
      </c>
      <c r="C15" s="36">
        <f>189+50</f>
        <v>239</v>
      </c>
      <c r="D15" s="36">
        <v>246</v>
      </c>
      <c r="E15" s="96">
        <f t="shared" si="1"/>
        <v>79487.527010000005</v>
      </c>
      <c r="F15" s="21">
        <v>18412.493600000002</v>
      </c>
      <c r="G15" s="21">
        <v>57446.53</v>
      </c>
      <c r="H15" s="21">
        <v>3189.3002499999998</v>
      </c>
      <c r="I15" s="21">
        <v>0</v>
      </c>
      <c r="J15" s="21">
        <v>439.20315999999997</v>
      </c>
      <c r="K15" s="21">
        <v>23744.20982</v>
      </c>
      <c r="L15" s="48">
        <f t="shared" si="0"/>
        <v>70.128382762476889</v>
      </c>
    </row>
    <row r="16" spans="1:12" x14ac:dyDescent="0.25">
      <c r="A16" s="36">
        <v>9</v>
      </c>
      <c r="B16" s="34" t="s">
        <v>22</v>
      </c>
      <c r="C16" s="36">
        <f>234</f>
        <v>234</v>
      </c>
      <c r="D16" s="5">
        <v>248</v>
      </c>
      <c r="E16" s="96">
        <f t="shared" si="1"/>
        <v>18905.674709999999</v>
      </c>
      <c r="F16" s="21">
        <v>16636.994869999999</v>
      </c>
      <c r="G16" s="21">
        <v>0</v>
      </c>
      <c r="H16" s="21">
        <v>2218.39525</v>
      </c>
      <c r="I16" s="21">
        <v>0</v>
      </c>
      <c r="J16" s="21">
        <v>50.284589999999994</v>
      </c>
      <c r="K16" s="21">
        <v>24252.316940000001</v>
      </c>
      <c r="L16" s="48">
        <f t="shared" si="0"/>
        <v>-28.280621094003799</v>
      </c>
    </row>
    <row r="17" spans="1:12" x14ac:dyDescent="0.25">
      <c r="A17" s="36">
        <v>10</v>
      </c>
      <c r="B17" s="34" t="s">
        <v>23</v>
      </c>
      <c r="C17" s="36">
        <f>236</f>
        <v>236</v>
      </c>
      <c r="D17" s="5">
        <v>244</v>
      </c>
      <c r="E17" s="96">
        <f t="shared" si="1"/>
        <v>77879.80704</v>
      </c>
      <c r="F17" s="21">
        <v>16816.721500000003</v>
      </c>
      <c r="G17" s="21">
        <v>56655.1</v>
      </c>
      <c r="H17" s="21">
        <v>4286.9855399999997</v>
      </c>
      <c r="I17" s="21">
        <v>0</v>
      </c>
      <c r="J17" s="21">
        <v>121</v>
      </c>
      <c r="K17" s="21">
        <v>21797.56047</v>
      </c>
      <c r="L17" s="48">
        <f t="shared" si="0"/>
        <v>72.011280846131896</v>
      </c>
    </row>
    <row r="18" spans="1:12" x14ac:dyDescent="0.25">
      <c r="A18" s="36">
        <v>11</v>
      </c>
      <c r="B18" s="34" t="s">
        <v>24</v>
      </c>
      <c r="C18" s="36">
        <f>224</f>
        <v>224</v>
      </c>
      <c r="D18" s="5">
        <v>266</v>
      </c>
      <c r="E18" s="96">
        <f t="shared" si="1"/>
        <v>24526.029429999995</v>
      </c>
      <c r="F18" s="21">
        <v>17870.930909999999</v>
      </c>
      <c r="G18" s="21">
        <v>0</v>
      </c>
      <c r="H18" s="21">
        <v>6646.4985199999992</v>
      </c>
      <c r="I18" s="21">
        <v>0</v>
      </c>
      <c r="J18" s="21">
        <v>8.6</v>
      </c>
      <c r="K18" s="21">
        <v>46199.178540000008</v>
      </c>
      <c r="L18" s="48">
        <f t="shared" si="0"/>
        <v>-88.367948721001014</v>
      </c>
    </row>
    <row r="19" spans="1:12" x14ac:dyDescent="0.25">
      <c r="A19" s="36">
        <v>12</v>
      </c>
      <c r="B19" s="34" t="s">
        <v>25</v>
      </c>
      <c r="C19" s="36">
        <f>526+20</f>
        <v>546</v>
      </c>
      <c r="D19" s="5">
        <v>543</v>
      </c>
      <c r="E19" s="96">
        <f t="shared" si="1"/>
        <v>31698.533390000001</v>
      </c>
      <c r="F19" s="21">
        <v>24943.250670000001</v>
      </c>
      <c r="G19" s="21">
        <v>0</v>
      </c>
      <c r="H19" s="21">
        <v>6706.1594000000005</v>
      </c>
      <c r="I19" s="21">
        <v>0</v>
      </c>
      <c r="J19" s="21">
        <v>49.123320000000007</v>
      </c>
      <c r="K19" s="21">
        <v>32276.637989999996</v>
      </c>
      <c r="L19" s="48">
        <f t="shared" si="0"/>
        <v>-1.823758193754071</v>
      </c>
    </row>
    <row r="20" spans="1:12" x14ac:dyDescent="0.25">
      <c r="A20" s="36">
        <v>13</v>
      </c>
      <c r="B20" s="34" t="s">
        <v>26</v>
      </c>
      <c r="C20" s="36">
        <f>263+42</f>
        <v>305</v>
      </c>
      <c r="D20" s="5">
        <v>322</v>
      </c>
      <c r="E20" s="96">
        <f t="shared" si="1"/>
        <v>33992.159209999991</v>
      </c>
      <c r="F20" s="21">
        <v>27713.627879999993</v>
      </c>
      <c r="G20" s="21">
        <v>0</v>
      </c>
      <c r="H20" s="21">
        <v>5549.3757699999996</v>
      </c>
      <c r="I20" s="21">
        <v>0</v>
      </c>
      <c r="J20" s="21">
        <v>729.15556000000004</v>
      </c>
      <c r="K20" s="21">
        <v>113027.98986</v>
      </c>
      <c r="L20" s="48">
        <f t="shared" si="0"/>
        <v>-232.51194536282603</v>
      </c>
    </row>
    <row r="21" spans="1:12" x14ac:dyDescent="0.25">
      <c r="A21" s="36">
        <v>14</v>
      </c>
      <c r="B21" s="34" t="s">
        <v>27</v>
      </c>
      <c r="C21" s="36">
        <v>150</v>
      </c>
      <c r="D21" s="5">
        <v>156</v>
      </c>
      <c r="E21" s="96">
        <f t="shared" si="1"/>
        <v>13876.10038</v>
      </c>
      <c r="F21" s="21">
        <v>9240.9978100000008</v>
      </c>
      <c r="G21" s="21">
        <v>0</v>
      </c>
      <c r="H21" s="21">
        <v>2731.14941</v>
      </c>
      <c r="I21" s="21">
        <v>0</v>
      </c>
      <c r="J21" s="21">
        <v>1903.95316</v>
      </c>
      <c r="K21" s="21">
        <v>12192.206979999999</v>
      </c>
      <c r="L21" s="48">
        <f t="shared" si="0"/>
        <v>12.135206245891981</v>
      </c>
    </row>
    <row r="22" spans="1:12" ht="30" x14ac:dyDescent="0.25">
      <c r="A22" s="36">
        <v>15</v>
      </c>
      <c r="B22" s="34" t="s">
        <v>28</v>
      </c>
      <c r="C22" s="36">
        <v>94</v>
      </c>
      <c r="D22" s="5">
        <v>145</v>
      </c>
      <c r="E22" s="96">
        <f t="shared" si="1"/>
        <v>11902.45636</v>
      </c>
      <c r="F22" s="21">
        <v>8534.6673100000007</v>
      </c>
      <c r="G22" s="21">
        <v>0</v>
      </c>
      <c r="H22" s="21">
        <v>1975.7153999999998</v>
      </c>
      <c r="I22" s="21">
        <v>0</v>
      </c>
      <c r="J22" s="21">
        <v>1392.0736499999998</v>
      </c>
      <c r="K22" s="21">
        <v>8032.96976</v>
      </c>
      <c r="L22" s="48">
        <f t="shared" si="0"/>
        <v>32.509983510664178</v>
      </c>
    </row>
    <row r="23" spans="1:12" ht="30" x14ac:dyDescent="0.25">
      <c r="A23" s="36">
        <v>16</v>
      </c>
      <c r="B23" s="34" t="s">
        <v>29</v>
      </c>
      <c r="C23" s="36">
        <v>97</v>
      </c>
      <c r="D23" s="5">
        <v>108</v>
      </c>
      <c r="E23" s="96">
        <f t="shared" si="1"/>
        <v>10170.395329999999</v>
      </c>
      <c r="F23" s="21">
        <v>7181.3437599999997</v>
      </c>
      <c r="G23" s="21">
        <v>0</v>
      </c>
      <c r="H23" s="21">
        <v>1909.41</v>
      </c>
      <c r="I23" s="21">
        <v>0</v>
      </c>
      <c r="J23" s="21">
        <v>1079.64157</v>
      </c>
      <c r="K23" s="21">
        <v>8534.1057999999994</v>
      </c>
      <c r="L23" s="48">
        <f t="shared" si="0"/>
        <v>16.088750504843947</v>
      </c>
    </row>
    <row r="24" spans="1:12" x14ac:dyDescent="0.25">
      <c r="A24" s="36">
        <v>17</v>
      </c>
      <c r="B24" s="34" t="s">
        <v>30</v>
      </c>
      <c r="C24" s="36">
        <v>68</v>
      </c>
      <c r="D24" s="5">
        <v>68</v>
      </c>
      <c r="E24" s="96">
        <f t="shared" si="1"/>
        <v>15325.405869999999</v>
      </c>
      <c r="F24" s="21">
        <v>3593.8059899999998</v>
      </c>
      <c r="G24" s="21">
        <v>0</v>
      </c>
      <c r="H24" s="21">
        <v>11230.409900000001</v>
      </c>
      <c r="I24" s="21">
        <v>0</v>
      </c>
      <c r="J24" s="21">
        <v>501.18997999999999</v>
      </c>
      <c r="K24" s="21">
        <v>5446.5829699999995</v>
      </c>
      <c r="L24" s="48">
        <f t="shared" si="0"/>
        <v>64.460432459659216</v>
      </c>
    </row>
    <row r="25" spans="1:12" ht="30" x14ac:dyDescent="0.25">
      <c r="A25" s="36">
        <v>18</v>
      </c>
      <c r="B25" s="34" t="s">
        <v>31</v>
      </c>
      <c r="C25" s="36">
        <v>107</v>
      </c>
      <c r="D25" s="5">
        <v>120</v>
      </c>
      <c r="E25" s="96">
        <f t="shared" si="1"/>
        <v>12547.97213</v>
      </c>
      <c r="F25" s="21">
        <v>7707.7738999999992</v>
      </c>
      <c r="G25" s="21">
        <v>0</v>
      </c>
      <c r="H25" s="21">
        <v>3549.27702</v>
      </c>
      <c r="I25" s="21">
        <v>0</v>
      </c>
      <c r="J25" s="21">
        <v>1290.92121</v>
      </c>
      <c r="K25" s="21">
        <v>8188.6630099999993</v>
      </c>
      <c r="L25" s="48">
        <f t="shared" si="0"/>
        <v>34.74114442426643</v>
      </c>
    </row>
    <row r="26" spans="1:12" x14ac:dyDescent="0.25">
      <c r="A26" s="36">
        <v>19</v>
      </c>
      <c r="B26" s="34" t="s">
        <v>32</v>
      </c>
      <c r="C26" s="36">
        <v>98</v>
      </c>
      <c r="D26" s="5">
        <v>106</v>
      </c>
      <c r="E26" s="96">
        <f t="shared" si="1"/>
        <v>10142.36571</v>
      </c>
      <c r="F26" s="21">
        <v>6667.9290399999991</v>
      </c>
      <c r="G26" s="21">
        <v>0</v>
      </c>
      <c r="H26" s="21">
        <v>2323.4389999999999</v>
      </c>
      <c r="I26" s="21">
        <v>0</v>
      </c>
      <c r="J26" s="21">
        <v>1150.99767</v>
      </c>
      <c r="K26" s="21">
        <v>9183.3753699999997</v>
      </c>
      <c r="L26" s="48">
        <f t="shared" si="0"/>
        <v>9.4552924576015922</v>
      </c>
    </row>
    <row r="27" spans="1:12" x14ac:dyDescent="0.25">
      <c r="A27" s="36">
        <v>20</v>
      </c>
      <c r="B27" s="34" t="s">
        <v>33</v>
      </c>
      <c r="C27" s="36">
        <v>38</v>
      </c>
      <c r="D27" s="5">
        <v>33</v>
      </c>
      <c r="E27" s="96">
        <f t="shared" si="1"/>
        <v>3983.3724100000009</v>
      </c>
      <c r="F27" s="21">
        <v>3077.3777600000008</v>
      </c>
      <c r="G27" s="21">
        <v>0</v>
      </c>
      <c r="H27" s="21">
        <v>529.84900000000005</v>
      </c>
      <c r="I27" s="21">
        <v>0</v>
      </c>
      <c r="J27" s="21">
        <v>376.14565000000005</v>
      </c>
      <c r="K27" s="21">
        <v>3442.0166300000001</v>
      </c>
      <c r="L27" s="48">
        <f t="shared" si="0"/>
        <v>13.59038835136182</v>
      </c>
    </row>
    <row r="28" spans="1:12" x14ac:dyDescent="0.25">
      <c r="A28" s="36">
        <v>21</v>
      </c>
      <c r="B28" s="34" t="s">
        <v>34</v>
      </c>
      <c r="C28" s="36">
        <v>68</v>
      </c>
      <c r="D28" s="5">
        <v>75</v>
      </c>
      <c r="E28" s="96">
        <f t="shared" si="1"/>
        <v>6301.795619999999</v>
      </c>
      <c r="F28" s="21">
        <v>4432.4102299999995</v>
      </c>
      <c r="G28" s="21">
        <v>0</v>
      </c>
      <c r="H28" s="21">
        <v>1049.9259999999999</v>
      </c>
      <c r="I28" s="21">
        <v>0</v>
      </c>
      <c r="J28" s="21">
        <v>819.45938999999998</v>
      </c>
      <c r="K28" s="21">
        <v>4923.9431199999999</v>
      </c>
      <c r="L28" s="48">
        <f t="shared" si="0"/>
        <v>21.864442820505168</v>
      </c>
    </row>
    <row r="29" spans="1:12" x14ac:dyDescent="0.25">
      <c r="A29" s="36">
        <v>22</v>
      </c>
      <c r="B29" s="34" t="s">
        <v>35</v>
      </c>
      <c r="C29" s="36">
        <v>75</v>
      </c>
      <c r="D29" s="5">
        <v>53</v>
      </c>
      <c r="E29" s="96">
        <f t="shared" si="1"/>
        <v>12158.937250000001</v>
      </c>
      <c r="F29" s="21">
        <v>3556.6895300000001</v>
      </c>
      <c r="G29" s="21">
        <v>0</v>
      </c>
      <c r="H29" s="21">
        <v>8142.4209600000004</v>
      </c>
      <c r="I29" s="21">
        <v>0</v>
      </c>
      <c r="J29" s="21">
        <v>459.82676000000004</v>
      </c>
      <c r="K29" s="21">
        <v>6292.2640899999997</v>
      </c>
      <c r="L29" s="48">
        <f t="shared" si="0"/>
        <v>48.249884339192562</v>
      </c>
    </row>
    <row r="30" spans="1:12" x14ac:dyDescent="0.25">
      <c r="A30" s="36">
        <v>23</v>
      </c>
      <c r="B30" s="34" t="s">
        <v>36</v>
      </c>
      <c r="C30" s="36">
        <v>150</v>
      </c>
      <c r="D30" s="5">
        <v>189</v>
      </c>
      <c r="E30" s="96">
        <f t="shared" si="1"/>
        <v>20177.587609999999</v>
      </c>
      <c r="F30" s="21">
        <v>10660.10275</v>
      </c>
      <c r="G30" s="21">
        <v>0</v>
      </c>
      <c r="H30" s="21">
        <v>7533.3170299999992</v>
      </c>
      <c r="I30" s="21">
        <v>0</v>
      </c>
      <c r="J30" s="21">
        <v>1984.1678299999999</v>
      </c>
      <c r="K30" s="21">
        <v>11525.404489999999</v>
      </c>
      <c r="L30" s="48">
        <f t="shared" si="0"/>
        <v>42.880166287628874</v>
      </c>
    </row>
    <row r="31" spans="1:12" x14ac:dyDescent="0.25">
      <c r="A31" s="36">
        <v>24</v>
      </c>
      <c r="B31" s="34" t="s">
        <v>37</v>
      </c>
      <c r="C31" s="36">
        <v>35</v>
      </c>
      <c r="D31" s="5">
        <v>40</v>
      </c>
      <c r="E31" s="96">
        <f t="shared" si="1"/>
        <v>5166.0366199999999</v>
      </c>
      <c r="F31" s="21">
        <v>3824.26127</v>
      </c>
      <c r="G31" s="21">
        <v>0</v>
      </c>
      <c r="H31" s="21">
        <v>861.71299999999997</v>
      </c>
      <c r="I31" s="21">
        <v>0</v>
      </c>
      <c r="J31" s="21">
        <v>480.06234999999998</v>
      </c>
      <c r="K31" s="21">
        <v>4021.6821199999999</v>
      </c>
      <c r="L31" s="48">
        <f t="shared" si="0"/>
        <v>22.151498027902093</v>
      </c>
    </row>
    <row r="32" spans="1:12" x14ac:dyDescent="0.25">
      <c r="A32" s="36">
        <v>25</v>
      </c>
      <c r="B32" s="34" t="s">
        <v>38</v>
      </c>
      <c r="C32" s="36">
        <v>118</v>
      </c>
      <c r="D32" s="5">
        <v>121</v>
      </c>
      <c r="E32" s="96">
        <f t="shared" si="1"/>
        <v>14619.523210000001</v>
      </c>
      <c r="F32" s="21">
        <v>6061.3575800000008</v>
      </c>
      <c r="G32" s="21">
        <v>0</v>
      </c>
      <c r="H32" s="21">
        <v>7719.2775799999999</v>
      </c>
      <c r="I32" s="21">
        <v>0</v>
      </c>
      <c r="J32" s="21">
        <v>838.88805000000002</v>
      </c>
      <c r="K32" s="21">
        <v>8151.6814599999998</v>
      </c>
      <c r="L32" s="48">
        <f t="shared" si="0"/>
        <v>44.241126451893372</v>
      </c>
    </row>
    <row r="33" spans="1:12" x14ac:dyDescent="0.25">
      <c r="A33" s="36">
        <v>26</v>
      </c>
      <c r="B33" s="34" t="s">
        <v>39</v>
      </c>
      <c r="C33" s="36">
        <v>55</v>
      </c>
      <c r="D33" s="5">
        <v>61</v>
      </c>
      <c r="E33" s="96">
        <f t="shared" si="1"/>
        <v>7163.716910000001</v>
      </c>
      <c r="F33" s="21">
        <v>4705.9266900000002</v>
      </c>
      <c r="G33" s="21">
        <v>0</v>
      </c>
      <c r="H33" s="21">
        <v>1894.69</v>
      </c>
      <c r="I33" s="21">
        <v>0</v>
      </c>
      <c r="J33" s="21">
        <v>563.10021999999992</v>
      </c>
      <c r="K33" s="21">
        <v>6905.1858300000004</v>
      </c>
      <c r="L33" s="48">
        <f t="shared" si="0"/>
        <v>3.6088958183022428</v>
      </c>
    </row>
    <row r="34" spans="1:12" x14ac:dyDescent="0.25">
      <c r="A34" s="36">
        <v>27</v>
      </c>
      <c r="B34" s="34" t="s">
        <v>40</v>
      </c>
      <c r="C34" s="36">
        <v>101</v>
      </c>
      <c r="D34" s="5">
        <v>104</v>
      </c>
      <c r="E34" s="96">
        <f t="shared" si="1"/>
        <v>9084.2758999999987</v>
      </c>
      <c r="F34" s="21">
        <v>6451.577589999999</v>
      </c>
      <c r="G34" s="21">
        <v>0</v>
      </c>
      <c r="H34" s="21">
        <v>1629.3922</v>
      </c>
      <c r="I34" s="21">
        <v>0</v>
      </c>
      <c r="J34" s="21">
        <v>1003.3061100000001</v>
      </c>
      <c r="K34" s="21">
        <v>8086.6935200000007</v>
      </c>
      <c r="L34" s="48">
        <f>(E34-K34)/E34*100</f>
        <v>10.981418783196558</v>
      </c>
    </row>
    <row r="35" spans="1:12" ht="30" x14ac:dyDescent="0.25">
      <c r="A35" s="36">
        <v>28</v>
      </c>
      <c r="B35" s="34" t="s">
        <v>41</v>
      </c>
      <c r="C35" s="36">
        <v>140</v>
      </c>
      <c r="D35" s="5">
        <v>135</v>
      </c>
      <c r="E35" s="96">
        <f t="shared" si="1"/>
        <v>12972.313529999999</v>
      </c>
      <c r="F35" s="21">
        <v>9758.1363700000002</v>
      </c>
      <c r="G35" s="21">
        <v>0</v>
      </c>
      <c r="H35" s="21">
        <v>1893.6931999999999</v>
      </c>
      <c r="I35" s="21">
        <v>0</v>
      </c>
      <c r="J35" s="21">
        <v>1320.48396</v>
      </c>
      <c r="K35" s="21">
        <v>8710.87608</v>
      </c>
      <c r="L35" s="48">
        <f t="shared" si="0"/>
        <v>32.850250189720782</v>
      </c>
    </row>
    <row r="36" spans="1:12" ht="30" x14ac:dyDescent="0.25">
      <c r="A36" s="36">
        <v>29</v>
      </c>
      <c r="B36" s="34" t="s">
        <v>42</v>
      </c>
      <c r="C36" s="36">
        <v>107</v>
      </c>
      <c r="D36" s="5">
        <v>120</v>
      </c>
      <c r="E36" s="96">
        <f t="shared" si="1"/>
        <v>9282.7484600000007</v>
      </c>
      <c r="F36" s="21">
        <v>6727.006800000001</v>
      </c>
      <c r="G36" s="21">
        <v>0</v>
      </c>
      <c r="H36" s="21">
        <v>1564.9749999999999</v>
      </c>
      <c r="I36" s="21">
        <v>0</v>
      </c>
      <c r="J36" s="21">
        <v>990.76666</v>
      </c>
      <c r="K36" s="21">
        <v>8002.928460000001</v>
      </c>
      <c r="L36" s="48">
        <f t="shared" si="0"/>
        <v>13.787080469915045</v>
      </c>
    </row>
    <row r="37" spans="1:12" x14ac:dyDescent="0.25">
      <c r="A37" s="36">
        <v>30</v>
      </c>
      <c r="B37" s="34" t="s">
        <v>43</v>
      </c>
      <c r="C37" s="36">
        <f>54+20</f>
        <v>74</v>
      </c>
      <c r="D37" s="5">
        <v>72</v>
      </c>
      <c r="E37" s="96">
        <f t="shared" si="1"/>
        <v>9339.4261499999993</v>
      </c>
      <c r="F37" s="21">
        <v>7107.7451799999999</v>
      </c>
      <c r="G37" s="21">
        <v>0</v>
      </c>
      <c r="H37" s="21">
        <v>2132.7181299999997</v>
      </c>
      <c r="I37" s="21">
        <v>0</v>
      </c>
      <c r="J37" s="21">
        <v>98.96284</v>
      </c>
      <c r="K37" s="21">
        <v>9140.6400000000012</v>
      </c>
      <c r="L37" s="48">
        <f t="shared" si="0"/>
        <v>2.1284621432548949</v>
      </c>
    </row>
    <row r="38" spans="1:12" x14ac:dyDescent="0.25">
      <c r="A38" s="36">
        <v>31</v>
      </c>
      <c r="B38" s="34" t="s">
        <v>44</v>
      </c>
      <c r="C38" s="36">
        <f>194+74</f>
        <v>268</v>
      </c>
      <c r="D38" s="5">
        <v>297</v>
      </c>
      <c r="E38" s="96">
        <f t="shared" si="1"/>
        <v>32348.412510000006</v>
      </c>
      <c r="F38" s="21">
        <v>19840.767490000002</v>
      </c>
      <c r="G38" s="21">
        <v>0</v>
      </c>
      <c r="H38" s="21">
        <v>11720.608490000001</v>
      </c>
      <c r="I38" s="21">
        <v>0</v>
      </c>
      <c r="J38" s="21">
        <v>787.03653000000008</v>
      </c>
      <c r="K38" s="21">
        <v>20474.180329999999</v>
      </c>
      <c r="L38" s="48">
        <f t="shared" si="0"/>
        <v>36.707310370576216</v>
      </c>
    </row>
    <row r="39" spans="1:12" x14ac:dyDescent="0.25">
      <c r="A39" s="36">
        <v>32</v>
      </c>
      <c r="B39" s="34" t="s">
        <v>45</v>
      </c>
      <c r="C39" s="36">
        <f>113</f>
        <v>113</v>
      </c>
      <c r="D39" s="5">
        <v>129</v>
      </c>
      <c r="E39" s="96">
        <f t="shared" si="1"/>
        <v>11085.374969999999</v>
      </c>
      <c r="F39" s="21">
        <v>9323.0681299999997</v>
      </c>
      <c r="G39" s="21">
        <v>0</v>
      </c>
      <c r="H39" s="21">
        <v>1761.8068399999997</v>
      </c>
      <c r="I39" s="21">
        <v>0</v>
      </c>
      <c r="J39" s="21">
        <v>0.5</v>
      </c>
      <c r="K39" s="21">
        <v>9677.0624299999999</v>
      </c>
      <c r="L39" s="48">
        <f>(E39-K39)/E39*100</f>
        <v>12.704239088089226</v>
      </c>
    </row>
    <row r="40" spans="1:12" ht="30" x14ac:dyDescent="0.25">
      <c r="A40" s="36">
        <v>33</v>
      </c>
      <c r="B40" s="34" t="s">
        <v>46</v>
      </c>
      <c r="C40" s="36">
        <f>70+18</f>
        <v>88</v>
      </c>
      <c r="D40" s="5">
        <v>99</v>
      </c>
      <c r="E40" s="96">
        <f t="shared" si="1"/>
        <v>9827.9360900000011</v>
      </c>
      <c r="F40" s="21">
        <v>7770.9567000000006</v>
      </c>
      <c r="G40" s="21">
        <v>0</v>
      </c>
      <c r="H40" s="21">
        <v>1898.4683</v>
      </c>
      <c r="I40" s="21">
        <v>0</v>
      </c>
      <c r="J40" s="21">
        <v>158.51109</v>
      </c>
      <c r="K40" s="21">
        <v>8136.4218599999995</v>
      </c>
      <c r="L40" s="48">
        <f t="shared" si="0"/>
        <v>17.211286423821274</v>
      </c>
    </row>
    <row r="41" spans="1:12" x14ac:dyDescent="0.25">
      <c r="A41" s="36">
        <v>34</v>
      </c>
      <c r="B41" s="34" t="s">
        <v>47</v>
      </c>
      <c r="C41" s="36">
        <v>241</v>
      </c>
      <c r="D41" s="5">
        <v>229</v>
      </c>
      <c r="E41" s="96">
        <f t="shared" si="1"/>
        <v>7320.5048000000006</v>
      </c>
      <c r="F41" s="21">
        <v>6896.3594000000003</v>
      </c>
      <c r="G41" s="21">
        <v>0</v>
      </c>
      <c r="H41" s="21">
        <v>424.1454</v>
      </c>
      <c r="I41" s="21">
        <v>0</v>
      </c>
      <c r="J41" s="21">
        <v>0</v>
      </c>
      <c r="K41" s="21">
        <v>8310.466989999999</v>
      </c>
      <c r="L41" s="48">
        <f t="shared" si="0"/>
        <v>-13.523141054425622</v>
      </c>
    </row>
    <row r="42" spans="1:12" ht="30" x14ac:dyDescent="0.25">
      <c r="A42" s="36">
        <v>35</v>
      </c>
      <c r="B42" s="34" t="s">
        <v>48</v>
      </c>
      <c r="C42" s="36">
        <f>437+45</f>
        <v>482</v>
      </c>
      <c r="D42" s="5">
        <v>446</v>
      </c>
      <c r="E42" s="96">
        <f t="shared" si="1"/>
        <v>28358.883439999998</v>
      </c>
      <c r="F42" s="21">
        <v>22284.834930000001</v>
      </c>
      <c r="G42" s="21">
        <v>0</v>
      </c>
      <c r="H42" s="21">
        <v>5379.9984999999997</v>
      </c>
      <c r="I42" s="21">
        <v>0</v>
      </c>
      <c r="J42" s="21">
        <v>694.05001000000004</v>
      </c>
      <c r="K42" s="21">
        <v>28404.450679999998</v>
      </c>
      <c r="L42" s="48">
        <f t="shared" si="0"/>
        <v>-0.16068065619159058</v>
      </c>
    </row>
    <row r="43" spans="1:12" x14ac:dyDescent="0.25">
      <c r="A43" s="36">
        <v>36</v>
      </c>
      <c r="B43" s="34" t="s">
        <v>49</v>
      </c>
      <c r="C43" s="36">
        <f>161</f>
        <v>161</v>
      </c>
      <c r="D43" s="5">
        <v>156</v>
      </c>
      <c r="E43" s="96">
        <f t="shared" si="1"/>
        <v>13292.545779999999</v>
      </c>
      <c r="F43" s="21">
        <v>11191.114729999999</v>
      </c>
      <c r="G43" s="21">
        <v>0</v>
      </c>
      <c r="H43" s="21">
        <v>2101.4310499999997</v>
      </c>
      <c r="I43" s="21">
        <v>0</v>
      </c>
      <c r="J43" s="21"/>
      <c r="K43" s="21">
        <v>12441.9625</v>
      </c>
      <c r="L43" s="48">
        <f t="shared" si="0"/>
        <v>6.3989494117807659</v>
      </c>
    </row>
    <row r="44" spans="1:12" x14ac:dyDescent="0.25">
      <c r="A44" s="36">
        <v>37</v>
      </c>
      <c r="B44" s="34" t="s">
        <v>50</v>
      </c>
      <c r="C44" s="36">
        <f>757+51</f>
        <v>808</v>
      </c>
      <c r="D44" s="5">
        <v>827</v>
      </c>
      <c r="E44" s="96">
        <f t="shared" si="1"/>
        <v>52303.504809999999</v>
      </c>
      <c r="F44" s="21">
        <v>42864.22453</v>
      </c>
      <c r="G44" s="21">
        <v>0</v>
      </c>
      <c r="H44" s="21">
        <v>9213.1812399999999</v>
      </c>
      <c r="I44" s="21">
        <v>0</v>
      </c>
      <c r="J44" s="21">
        <v>226.09904</v>
      </c>
      <c r="K44" s="21">
        <v>44626.349459999998</v>
      </c>
      <c r="L44" s="48">
        <f t="shared" si="0"/>
        <v>14.678089695687452</v>
      </c>
    </row>
    <row r="45" spans="1:12" x14ac:dyDescent="0.25">
      <c r="A45" s="36">
        <v>38</v>
      </c>
      <c r="B45" s="34" t="s">
        <v>51</v>
      </c>
      <c r="C45" s="36">
        <f>287</f>
        <v>287</v>
      </c>
      <c r="D45" s="26">
        <v>291</v>
      </c>
      <c r="E45" s="96">
        <f t="shared" si="1"/>
        <v>27608.245550000007</v>
      </c>
      <c r="F45" s="21">
        <v>24190.996480000005</v>
      </c>
      <c r="G45" s="21">
        <v>0</v>
      </c>
      <c r="H45" s="21">
        <v>3388.4354500000004</v>
      </c>
      <c r="I45" s="21">
        <v>0</v>
      </c>
      <c r="J45" s="21">
        <v>28.81362</v>
      </c>
      <c r="K45" s="21">
        <v>28202.563389999999</v>
      </c>
      <c r="L45" s="48">
        <f t="shared" si="0"/>
        <v>-2.1526823894827039</v>
      </c>
    </row>
    <row r="46" spans="1:12" x14ac:dyDescent="0.25">
      <c r="A46" s="36">
        <v>39</v>
      </c>
      <c r="B46" s="34" t="s">
        <v>52</v>
      </c>
      <c r="C46" s="36">
        <f>377+33</f>
        <v>410</v>
      </c>
      <c r="D46" s="5">
        <v>438</v>
      </c>
      <c r="E46" s="96">
        <f t="shared" si="1"/>
        <v>33673.499539999997</v>
      </c>
      <c r="F46" s="21">
        <v>27412.541969999998</v>
      </c>
      <c r="G46" s="21">
        <v>0</v>
      </c>
      <c r="H46" s="21">
        <v>6256.5939500000004</v>
      </c>
      <c r="I46" s="21">
        <v>0</v>
      </c>
      <c r="J46" s="21">
        <v>4.3636200000000001</v>
      </c>
      <c r="K46" s="21">
        <v>29468.168890000001</v>
      </c>
      <c r="L46" s="48">
        <f t="shared" si="0"/>
        <v>12.488546505255796</v>
      </c>
    </row>
    <row r="47" spans="1:12" x14ac:dyDescent="0.25">
      <c r="A47" s="36">
        <v>40</v>
      </c>
      <c r="B47" s="34" t="s">
        <v>53</v>
      </c>
      <c r="C47" s="36">
        <f>251</f>
        <v>251</v>
      </c>
      <c r="D47" s="5">
        <v>272</v>
      </c>
      <c r="E47" s="96">
        <f t="shared" si="1"/>
        <v>20767.397549999994</v>
      </c>
      <c r="F47" s="21">
        <v>17483.879619999996</v>
      </c>
      <c r="G47" s="21">
        <v>0</v>
      </c>
      <c r="H47" s="21">
        <v>3283.2051200000001</v>
      </c>
      <c r="I47" s="21">
        <v>0</v>
      </c>
      <c r="J47" s="21">
        <v>0.31280999999999998</v>
      </c>
      <c r="K47" s="21">
        <v>19431.384050000001</v>
      </c>
      <c r="L47" s="48">
        <f t="shared" si="0"/>
        <v>6.4332254283830288</v>
      </c>
    </row>
    <row r="48" spans="1:12" x14ac:dyDescent="0.25">
      <c r="A48" s="36">
        <v>41</v>
      </c>
      <c r="B48" s="34" t="s">
        <v>54</v>
      </c>
      <c r="C48" s="36">
        <f>126+46</f>
        <v>172</v>
      </c>
      <c r="D48" s="5">
        <v>180</v>
      </c>
      <c r="E48" s="96">
        <f t="shared" si="1"/>
        <v>14935.942820000002</v>
      </c>
      <c r="F48" s="21">
        <v>12171.609650000002</v>
      </c>
      <c r="G48" s="21">
        <v>0</v>
      </c>
      <c r="H48" s="21">
        <v>2365.7786499999997</v>
      </c>
      <c r="I48" s="21">
        <v>0</v>
      </c>
      <c r="J48" s="21">
        <v>398.55451999999997</v>
      </c>
      <c r="K48" s="21">
        <v>13096.732480000001</v>
      </c>
      <c r="L48" s="48">
        <f t="shared" si="0"/>
        <v>12.313988893538101</v>
      </c>
    </row>
    <row r="49" spans="1:12" x14ac:dyDescent="0.25">
      <c r="A49" s="36">
        <v>42</v>
      </c>
      <c r="B49" s="34" t="s">
        <v>55</v>
      </c>
      <c r="C49" s="36">
        <f>137+55</f>
        <v>192</v>
      </c>
      <c r="D49" s="5">
        <v>201</v>
      </c>
      <c r="E49" s="96">
        <f t="shared" si="1"/>
        <v>18992.113170000001</v>
      </c>
      <c r="F49" s="21">
        <v>15778.449310000002</v>
      </c>
      <c r="G49" s="21">
        <v>0</v>
      </c>
      <c r="H49" s="21">
        <v>2817.0090499999997</v>
      </c>
      <c r="I49" s="21">
        <v>0</v>
      </c>
      <c r="J49" s="21">
        <v>396.65481</v>
      </c>
      <c r="K49" s="21">
        <v>18970.983749999999</v>
      </c>
      <c r="L49" s="48">
        <f t="shared" si="0"/>
        <v>0.11125365466638654</v>
      </c>
    </row>
    <row r="50" spans="1:12" x14ac:dyDescent="0.25">
      <c r="A50" s="36">
        <v>43</v>
      </c>
      <c r="B50" s="34" t="s">
        <v>56</v>
      </c>
      <c r="C50" s="36">
        <f>111+40</f>
        <v>151</v>
      </c>
      <c r="D50" s="5">
        <v>160</v>
      </c>
      <c r="E50" s="96">
        <f t="shared" si="1"/>
        <v>14041.266319999997</v>
      </c>
      <c r="F50" s="21">
        <v>10697.601959999998</v>
      </c>
      <c r="G50" s="21">
        <v>0</v>
      </c>
      <c r="H50" s="21">
        <v>2889.4059099999999</v>
      </c>
      <c r="I50" s="21">
        <v>0</v>
      </c>
      <c r="J50" s="21">
        <v>454.25845000000004</v>
      </c>
      <c r="K50" s="21">
        <v>12425.597320000001</v>
      </c>
      <c r="L50" s="48">
        <f t="shared" si="0"/>
        <v>11.506576139067182</v>
      </c>
    </row>
    <row r="51" spans="1:12" x14ac:dyDescent="0.25">
      <c r="A51" s="36">
        <v>44</v>
      </c>
      <c r="B51" s="34" t="s">
        <v>57</v>
      </c>
      <c r="C51" s="36">
        <f>176</f>
        <v>176</v>
      </c>
      <c r="D51" s="5">
        <v>209</v>
      </c>
      <c r="E51" s="96">
        <f t="shared" si="1"/>
        <v>15909.590840000003</v>
      </c>
      <c r="F51" s="21">
        <v>13058.822450000001</v>
      </c>
      <c r="G51" s="21">
        <v>0</v>
      </c>
      <c r="H51" s="21">
        <v>2845.2400400000001</v>
      </c>
      <c r="I51" s="21">
        <v>0</v>
      </c>
      <c r="J51" s="21">
        <v>5.5283500000000005</v>
      </c>
      <c r="K51" s="21">
        <v>14342.18958</v>
      </c>
      <c r="L51" s="48">
        <f t="shared" si="0"/>
        <v>9.8519269022257401</v>
      </c>
    </row>
    <row r="52" spans="1:12" x14ac:dyDescent="0.25">
      <c r="A52" s="36">
        <v>45</v>
      </c>
      <c r="B52" s="34" t="s">
        <v>58</v>
      </c>
      <c r="C52" s="36">
        <f>183+21</f>
        <v>204</v>
      </c>
      <c r="D52" s="5">
        <v>198</v>
      </c>
      <c r="E52" s="96">
        <f t="shared" si="1"/>
        <v>16784.189249999999</v>
      </c>
      <c r="F52" s="21">
        <v>14299.61778</v>
      </c>
      <c r="G52" s="21">
        <v>0</v>
      </c>
      <c r="H52" s="21">
        <v>2465.4317500000002</v>
      </c>
      <c r="I52" s="21">
        <v>0</v>
      </c>
      <c r="J52" s="21">
        <v>19.139719999999997</v>
      </c>
      <c r="K52" s="21">
        <v>16958.325399999998</v>
      </c>
      <c r="L52" s="48">
        <f t="shared" si="0"/>
        <v>-1.0375011113509607</v>
      </c>
    </row>
    <row r="53" spans="1:12" x14ac:dyDescent="0.25">
      <c r="A53" s="36">
        <v>46</v>
      </c>
      <c r="B53" s="34" t="s">
        <v>59</v>
      </c>
      <c r="C53" s="36">
        <f>86+26</f>
        <v>112</v>
      </c>
      <c r="D53" s="5">
        <v>99</v>
      </c>
      <c r="E53" s="96">
        <f t="shared" si="1"/>
        <v>12949.273870000001</v>
      </c>
      <c r="F53" s="21">
        <v>10612.470770000002</v>
      </c>
      <c r="G53" s="21"/>
      <c r="H53" s="21">
        <v>2178.2175999999999</v>
      </c>
      <c r="I53" s="21"/>
      <c r="J53" s="21">
        <v>158.5855</v>
      </c>
      <c r="K53" s="21">
        <v>11996.56128</v>
      </c>
      <c r="L53" s="48">
        <f>(E53-K53)/E53*100</f>
        <v>7.3572665121183434</v>
      </c>
    </row>
    <row r="54" spans="1:12" x14ac:dyDescent="0.25">
      <c r="A54" s="36">
        <v>47</v>
      </c>
      <c r="B54" s="34" t="s">
        <v>60</v>
      </c>
      <c r="C54" s="36">
        <f>179</f>
        <v>179</v>
      </c>
      <c r="D54" s="5">
        <v>195</v>
      </c>
      <c r="E54" s="96">
        <f t="shared" si="1"/>
        <v>16013.492189999999</v>
      </c>
      <c r="F54" s="21">
        <v>13487.337189999998</v>
      </c>
      <c r="G54" s="21">
        <v>0</v>
      </c>
      <c r="H54" s="21">
        <v>2516.1550000000002</v>
      </c>
      <c r="I54" s="21">
        <v>0</v>
      </c>
      <c r="J54" s="21">
        <v>10</v>
      </c>
      <c r="K54" s="21">
        <v>15977.090899999999</v>
      </c>
      <c r="L54" s="48">
        <f t="shared" si="0"/>
        <v>0.22731637526717269</v>
      </c>
    </row>
    <row r="55" spans="1:12" x14ac:dyDescent="0.25">
      <c r="A55" s="36">
        <v>48</v>
      </c>
      <c r="B55" s="34" t="s">
        <v>61</v>
      </c>
      <c r="C55" s="36">
        <f>63</f>
        <v>63</v>
      </c>
      <c r="D55" s="5">
        <v>65</v>
      </c>
      <c r="E55" s="96">
        <f t="shared" si="1"/>
        <v>8702.5116899999994</v>
      </c>
      <c r="F55" s="21">
        <v>7046.6540400000004</v>
      </c>
      <c r="G55" s="21">
        <v>0</v>
      </c>
      <c r="H55" s="21">
        <v>1655.8576499999999</v>
      </c>
      <c r="I55" s="21">
        <v>0</v>
      </c>
      <c r="J55" s="21">
        <v>0</v>
      </c>
      <c r="K55" s="21">
        <v>8478.9711499999994</v>
      </c>
      <c r="L55" s="48">
        <f t="shared" si="0"/>
        <v>2.5686899134748531</v>
      </c>
    </row>
    <row r="56" spans="1:12" x14ac:dyDescent="0.25">
      <c r="A56" s="36">
        <v>49</v>
      </c>
      <c r="B56" s="34" t="s">
        <v>62</v>
      </c>
      <c r="C56" s="36">
        <f>86+34</f>
        <v>120</v>
      </c>
      <c r="D56" s="5">
        <v>112</v>
      </c>
      <c r="E56" s="96">
        <f t="shared" si="1"/>
        <v>12388.33433</v>
      </c>
      <c r="F56" s="21">
        <v>10262.125550000001</v>
      </c>
      <c r="G56" s="21">
        <v>0</v>
      </c>
      <c r="H56" s="21">
        <v>1973.0239999999999</v>
      </c>
      <c r="I56" s="21">
        <v>0</v>
      </c>
      <c r="J56" s="21">
        <v>153.18478000000002</v>
      </c>
      <c r="K56" s="21">
        <v>12486.677680000001</v>
      </c>
      <c r="L56" s="48">
        <f t="shared" si="0"/>
        <v>-0.7938383593817735</v>
      </c>
    </row>
    <row r="57" spans="1:12" x14ac:dyDescent="0.25">
      <c r="A57" s="36">
        <v>50</v>
      </c>
      <c r="B57" s="34" t="s">
        <v>63</v>
      </c>
      <c r="C57" s="36">
        <f>227</f>
        <v>227</v>
      </c>
      <c r="D57" s="5">
        <v>220</v>
      </c>
      <c r="E57" s="96">
        <f t="shared" si="1"/>
        <v>17870.40465</v>
      </c>
      <c r="F57" s="21">
        <v>14876.77324</v>
      </c>
      <c r="G57" s="21">
        <v>0</v>
      </c>
      <c r="H57" s="21">
        <v>2860.1588500000003</v>
      </c>
      <c r="I57" s="21">
        <v>0</v>
      </c>
      <c r="J57" s="21">
        <v>133.47255999999999</v>
      </c>
      <c r="K57" s="21">
        <v>17011.357019999999</v>
      </c>
      <c r="L57" s="48">
        <f t="shared" si="0"/>
        <v>4.8070966876511152</v>
      </c>
    </row>
    <row r="58" spans="1:12" x14ac:dyDescent="0.25">
      <c r="A58" s="36">
        <v>51</v>
      </c>
      <c r="B58" s="34" t="s">
        <v>64</v>
      </c>
      <c r="C58" s="36">
        <f>83</f>
        <v>83</v>
      </c>
      <c r="D58" s="5">
        <v>115</v>
      </c>
      <c r="E58" s="96">
        <f t="shared" si="1"/>
        <v>10726.2891</v>
      </c>
      <c r="F58" s="21">
        <v>8602.7425900000017</v>
      </c>
      <c r="G58" s="21">
        <v>0</v>
      </c>
      <c r="H58" s="21">
        <v>2070.89275</v>
      </c>
      <c r="I58" s="21">
        <v>0</v>
      </c>
      <c r="J58" s="21">
        <v>52.653760000000005</v>
      </c>
      <c r="K58" s="21">
        <v>8987.5182800000002</v>
      </c>
      <c r="L58" s="48">
        <f t="shared" si="0"/>
        <v>16.210366919907088</v>
      </c>
    </row>
    <row r="59" spans="1:12" x14ac:dyDescent="0.25">
      <c r="A59" s="36">
        <v>52</v>
      </c>
      <c r="B59" s="34" t="s">
        <v>65</v>
      </c>
      <c r="C59" s="36">
        <f>182</f>
        <v>182</v>
      </c>
      <c r="D59" s="5">
        <v>222</v>
      </c>
      <c r="E59" s="96">
        <f t="shared" si="1"/>
        <v>15898.517669999999</v>
      </c>
      <c r="F59" s="21">
        <v>14094.378659999998</v>
      </c>
      <c r="G59" s="21">
        <v>0</v>
      </c>
      <c r="H59" s="21">
        <v>1804.1390100000001</v>
      </c>
      <c r="I59" s="21">
        <v>0</v>
      </c>
      <c r="J59" s="21">
        <v>0</v>
      </c>
      <c r="K59" s="21">
        <v>14379.95652</v>
      </c>
      <c r="L59" s="48">
        <f t="shared" si="0"/>
        <v>9.551589535076447</v>
      </c>
    </row>
    <row r="60" spans="1:12" x14ac:dyDescent="0.25">
      <c r="A60" s="36">
        <v>53</v>
      </c>
      <c r="B60" s="34" t="s">
        <v>66</v>
      </c>
      <c r="C60" s="36">
        <f>203+39</f>
        <v>242</v>
      </c>
      <c r="D60" s="5">
        <v>233</v>
      </c>
      <c r="E60" s="96">
        <f t="shared" si="1"/>
        <v>19097.616770000001</v>
      </c>
      <c r="F60" s="21">
        <v>16080.388570000001</v>
      </c>
      <c r="G60" s="21">
        <v>0</v>
      </c>
      <c r="H60" s="21">
        <v>2876.3112999999998</v>
      </c>
      <c r="I60" s="21">
        <v>0</v>
      </c>
      <c r="J60" s="21">
        <v>140.91690000000003</v>
      </c>
      <c r="K60" s="21">
        <v>19164.04019</v>
      </c>
      <c r="L60" s="48">
        <f t="shared" si="0"/>
        <v>-0.34780999535157797</v>
      </c>
    </row>
    <row r="61" spans="1:12" x14ac:dyDescent="0.25">
      <c r="A61" s="36">
        <v>54</v>
      </c>
      <c r="B61" s="34" t="s">
        <v>67</v>
      </c>
      <c r="C61" s="36">
        <f>130+48</f>
        <v>178</v>
      </c>
      <c r="D61" s="5">
        <v>209</v>
      </c>
      <c r="E61" s="96">
        <f t="shared" si="1"/>
        <v>17166.591960000002</v>
      </c>
      <c r="F61" s="21">
        <v>14389.630350000001</v>
      </c>
      <c r="G61" s="21">
        <v>0</v>
      </c>
      <c r="H61" s="21">
        <v>2246.2191499999999</v>
      </c>
      <c r="I61" s="21">
        <v>0</v>
      </c>
      <c r="J61" s="21">
        <v>530.74246000000005</v>
      </c>
      <c r="K61" s="21">
        <v>17525.213549999997</v>
      </c>
      <c r="L61" s="48">
        <f t="shared" si="0"/>
        <v>-2.0890668971198356</v>
      </c>
    </row>
    <row r="62" spans="1:12" x14ac:dyDescent="0.25">
      <c r="A62" s="36">
        <v>55</v>
      </c>
      <c r="B62" s="34" t="s">
        <v>68</v>
      </c>
      <c r="C62" s="36">
        <f>178</f>
        <v>178</v>
      </c>
      <c r="D62" s="5">
        <v>228</v>
      </c>
      <c r="E62" s="96">
        <f t="shared" si="1"/>
        <v>19440.522219999999</v>
      </c>
      <c r="F62" s="21">
        <v>16546.524719999998</v>
      </c>
      <c r="G62" s="21">
        <v>0</v>
      </c>
      <c r="H62" s="21">
        <v>2580.8995</v>
      </c>
      <c r="I62" s="21">
        <v>0</v>
      </c>
      <c r="J62" s="21">
        <v>313.09800000000001</v>
      </c>
      <c r="K62" s="21">
        <v>16628.645850000001</v>
      </c>
      <c r="L62" s="48">
        <f t="shared" si="0"/>
        <v>14.463996070574684</v>
      </c>
    </row>
    <row r="63" spans="1:12" x14ac:dyDescent="0.25">
      <c r="A63" s="36">
        <v>56</v>
      </c>
      <c r="B63" s="34" t="s">
        <v>69</v>
      </c>
      <c r="C63" s="36">
        <f>32+18</f>
        <v>50</v>
      </c>
      <c r="D63" s="5">
        <v>52</v>
      </c>
      <c r="E63" s="96">
        <f t="shared" si="1"/>
        <v>7848.6797599999991</v>
      </c>
      <c r="F63" s="21">
        <v>6516.2654899999998</v>
      </c>
      <c r="G63" s="21">
        <v>0</v>
      </c>
      <c r="H63" s="21">
        <v>1108.7909199999999</v>
      </c>
      <c r="I63" s="21">
        <v>0</v>
      </c>
      <c r="J63" s="21">
        <v>223.62334999999999</v>
      </c>
      <c r="K63" s="21">
        <v>6980.5868900000005</v>
      </c>
      <c r="L63" s="48">
        <f t="shared" si="0"/>
        <v>11.060368068833002</v>
      </c>
    </row>
    <row r="64" spans="1:12" x14ac:dyDescent="0.25">
      <c r="A64" s="36">
        <v>57</v>
      </c>
      <c r="B64" s="34" t="s">
        <v>70</v>
      </c>
      <c r="C64" s="36">
        <f>74</f>
        <v>74</v>
      </c>
      <c r="D64" s="5">
        <v>86</v>
      </c>
      <c r="E64" s="96">
        <f t="shared" si="1"/>
        <v>9349.8686500000003</v>
      </c>
      <c r="F64" s="21">
        <v>7665.7925599999999</v>
      </c>
      <c r="G64" s="21">
        <v>0</v>
      </c>
      <c r="H64" s="21">
        <v>1637.6305199999999</v>
      </c>
      <c r="I64" s="21">
        <v>0</v>
      </c>
      <c r="J64" s="21">
        <v>46.445569999999996</v>
      </c>
      <c r="K64" s="21">
        <v>7217.7900600000003</v>
      </c>
      <c r="L64" s="48">
        <f t="shared" si="0"/>
        <v>22.803299915876359</v>
      </c>
    </row>
    <row r="65" spans="1:12" x14ac:dyDescent="0.25">
      <c r="A65" s="36">
        <v>58</v>
      </c>
      <c r="B65" s="34" t="s">
        <v>71</v>
      </c>
      <c r="C65" s="36">
        <v>605</v>
      </c>
      <c r="D65" s="5">
        <v>652</v>
      </c>
      <c r="E65" s="96">
        <f t="shared" si="1"/>
        <v>3792.1472399999993</v>
      </c>
      <c r="F65" s="21">
        <v>2178.3472399999996</v>
      </c>
      <c r="G65" s="21">
        <v>0</v>
      </c>
      <c r="H65" s="21">
        <v>1613.8</v>
      </c>
      <c r="I65" s="21">
        <v>0</v>
      </c>
      <c r="J65" s="21">
        <v>0</v>
      </c>
      <c r="K65" s="21">
        <v>3023.4128799999999</v>
      </c>
      <c r="L65" s="48">
        <f t="shared" si="0"/>
        <v>20.271743456881165</v>
      </c>
    </row>
    <row r="66" spans="1:12" x14ac:dyDescent="0.25">
      <c r="A66" s="36">
        <v>59</v>
      </c>
      <c r="B66" s="34" t="s">
        <v>72</v>
      </c>
      <c r="C66" s="36">
        <v>277</v>
      </c>
      <c r="D66" s="5">
        <v>429</v>
      </c>
      <c r="E66" s="96">
        <f t="shared" si="1"/>
        <v>4718.6015299999999</v>
      </c>
      <c r="F66" s="21">
        <v>2864.2353599999997</v>
      </c>
      <c r="G66" s="21">
        <v>0</v>
      </c>
      <c r="H66" s="21">
        <v>1817.9272000000001</v>
      </c>
      <c r="I66" s="21">
        <v>0</v>
      </c>
      <c r="J66" s="21">
        <v>36.438969999999998</v>
      </c>
      <c r="K66" s="21">
        <v>4105.8041199999998</v>
      </c>
      <c r="L66" s="48">
        <f t="shared" si="0"/>
        <v>12.986843794796975</v>
      </c>
    </row>
    <row r="67" spans="1:12" x14ac:dyDescent="0.25">
      <c r="A67" s="36">
        <v>60</v>
      </c>
      <c r="B67" s="34" t="s">
        <v>73</v>
      </c>
      <c r="C67" s="36">
        <v>447</v>
      </c>
      <c r="D67" s="5">
        <v>496</v>
      </c>
      <c r="E67" s="96">
        <f t="shared" si="1"/>
        <v>5197.6391699999995</v>
      </c>
      <c r="F67" s="21">
        <v>3364.0319699999995</v>
      </c>
      <c r="G67" s="21">
        <v>0</v>
      </c>
      <c r="H67" s="21">
        <v>1763.6071999999999</v>
      </c>
      <c r="I67" s="21">
        <v>0</v>
      </c>
      <c r="J67" s="21">
        <v>70</v>
      </c>
      <c r="K67" s="21">
        <v>5263.9032699999998</v>
      </c>
      <c r="L67" s="48">
        <f t="shared" si="0"/>
        <v>-1.2748884220833732</v>
      </c>
    </row>
    <row r="68" spans="1:12" x14ac:dyDescent="0.25">
      <c r="A68" s="36">
        <v>61</v>
      </c>
      <c r="B68" s="34" t="s">
        <v>74</v>
      </c>
      <c r="C68" s="36">
        <v>260</v>
      </c>
      <c r="D68" s="5">
        <v>283</v>
      </c>
      <c r="E68" s="96">
        <f>SUM(F68:J68)</f>
        <v>2706.3121800000004</v>
      </c>
      <c r="F68" s="21">
        <v>2165.9481800000003</v>
      </c>
      <c r="G68" s="21">
        <v>0</v>
      </c>
      <c r="H68" s="21">
        <v>540.36400000000003</v>
      </c>
      <c r="I68" s="21">
        <v>0</v>
      </c>
      <c r="J68" s="21">
        <v>0</v>
      </c>
      <c r="K68" s="21">
        <v>2870.60079</v>
      </c>
      <c r="L68" s="48">
        <f t="shared" si="0"/>
        <v>-6.0705712819871209</v>
      </c>
    </row>
    <row r="69" spans="1:12" x14ac:dyDescent="0.25">
      <c r="A69" s="36">
        <v>62</v>
      </c>
      <c r="B69" s="34" t="s">
        <v>75</v>
      </c>
      <c r="C69" s="36">
        <v>439</v>
      </c>
      <c r="D69" s="5">
        <v>632</v>
      </c>
      <c r="E69" s="96">
        <f t="shared" si="1"/>
        <v>4661.7932100000007</v>
      </c>
      <c r="F69" s="21">
        <v>3198.0950100000005</v>
      </c>
      <c r="G69" s="21">
        <v>0</v>
      </c>
      <c r="H69" s="21">
        <v>1462.6982</v>
      </c>
      <c r="I69" s="21">
        <v>0</v>
      </c>
      <c r="J69" s="21">
        <v>1</v>
      </c>
      <c r="K69" s="21">
        <v>4097.7302499999996</v>
      </c>
      <c r="L69" s="48">
        <f t="shared" si="0"/>
        <v>12.09969929146645</v>
      </c>
    </row>
    <row r="70" spans="1:12" x14ac:dyDescent="0.25">
      <c r="A70" s="36">
        <v>63</v>
      </c>
      <c r="B70" s="34" t="s">
        <v>76</v>
      </c>
      <c r="C70" s="36">
        <v>282</v>
      </c>
      <c r="D70" s="5">
        <v>282</v>
      </c>
      <c r="E70" s="96">
        <f>SUM(F70:J70)</f>
        <v>1522.3876399999999</v>
      </c>
      <c r="F70" s="21">
        <v>1097.6876399999999</v>
      </c>
      <c r="G70" s="21">
        <v>0</v>
      </c>
      <c r="H70" s="21">
        <v>424.7</v>
      </c>
      <c r="I70" s="21">
        <v>0</v>
      </c>
      <c r="J70" s="21">
        <v>0</v>
      </c>
      <c r="K70" s="21">
        <v>1407.73873</v>
      </c>
      <c r="L70" s="48">
        <f>(E70-K70)/E70*100</f>
        <v>7.530861850665044</v>
      </c>
    </row>
    <row r="71" spans="1:12" x14ac:dyDescent="0.25">
      <c r="A71" s="36">
        <v>64</v>
      </c>
      <c r="B71" s="34" t="s">
        <v>77</v>
      </c>
      <c r="C71" s="36">
        <v>384</v>
      </c>
      <c r="D71" s="5">
        <v>490</v>
      </c>
      <c r="E71" s="96">
        <f>SUM(F71:J71)</f>
        <v>9446.4288799999995</v>
      </c>
      <c r="F71" s="21">
        <v>3752.9710599999999</v>
      </c>
      <c r="G71" s="21">
        <v>0</v>
      </c>
      <c r="H71" s="21">
        <v>5578.2442499999997</v>
      </c>
      <c r="I71" s="21">
        <v>0</v>
      </c>
      <c r="J71" s="21">
        <v>115.21356999999999</v>
      </c>
      <c r="K71" s="21">
        <v>6602.3011600000009</v>
      </c>
      <c r="L71" s="48">
        <f>(E71-K71)/E71*100</f>
        <v>30.107967318968466</v>
      </c>
    </row>
    <row r="72" spans="1:12" x14ac:dyDescent="0.25">
      <c r="A72" s="36">
        <v>65</v>
      </c>
      <c r="B72" s="34" t="s">
        <v>78</v>
      </c>
      <c r="C72" s="36">
        <v>212</v>
      </c>
      <c r="D72" s="5">
        <v>226</v>
      </c>
      <c r="E72" s="96">
        <f>SUM(F72:J72)</f>
        <v>3564.7392200000004</v>
      </c>
      <c r="F72" s="21">
        <v>2093.4300200000002</v>
      </c>
      <c r="G72" s="21">
        <v>0</v>
      </c>
      <c r="H72" s="21">
        <v>1471.3091999999999</v>
      </c>
      <c r="I72" s="21">
        <v>0</v>
      </c>
      <c r="J72" s="21">
        <v>0</v>
      </c>
      <c r="K72" s="21">
        <v>3532.6064500000002</v>
      </c>
      <c r="L72" s="48">
        <f>(E72-K72)/E72*100</f>
        <v>0.90140590985503166</v>
      </c>
    </row>
    <row r="73" spans="1:12" x14ac:dyDescent="0.25">
      <c r="A73" s="36">
        <v>66</v>
      </c>
      <c r="B73" s="34" t="s">
        <v>79</v>
      </c>
      <c r="C73" s="36">
        <v>190</v>
      </c>
      <c r="D73" s="5">
        <v>238</v>
      </c>
      <c r="E73" s="96">
        <f>SUM(F73:J73)</f>
        <v>1841.4876100000001</v>
      </c>
      <c r="F73" s="21">
        <v>1360.64492</v>
      </c>
      <c r="G73" s="21">
        <v>0</v>
      </c>
      <c r="H73" s="21">
        <v>469.88200000000001</v>
      </c>
      <c r="I73" s="21">
        <v>0</v>
      </c>
      <c r="J73" s="21">
        <v>10.960690000000001</v>
      </c>
      <c r="K73" s="21">
        <v>1625.34</v>
      </c>
      <c r="L73" s="48">
        <f>(E73-K73)/E73*100</f>
        <v>11.737663008224105</v>
      </c>
    </row>
    <row r="74" spans="1:12" ht="90" x14ac:dyDescent="0.25">
      <c r="A74" s="36">
        <v>67</v>
      </c>
      <c r="B74" s="68" t="s">
        <v>157</v>
      </c>
      <c r="C74" s="36">
        <v>98</v>
      </c>
      <c r="D74" s="36" t="s">
        <v>158</v>
      </c>
      <c r="E74" s="96">
        <f t="shared" ref="E74:E78" si="2">SUM(F74:J74)</f>
        <v>5004.4600499999997</v>
      </c>
      <c r="F74" s="21">
        <v>3785</v>
      </c>
      <c r="G74" s="21">
        <v>0</v>
      </c>
      <c r="H74" s="21">
        <v>1219.4600499999999</v>
      </c>
      <c r="I74" s="21">
        <v>0</v>
      </c>
      <c r="J74" s="21">
        <v>0</v>
      </c>
      <c r="K74" s="21">
        <v>4983.5370000000003</v>
      </c>
      <c r="L74" s="49">
        <f>(E80-K80)/E80*100</f>
        <v>-0.66638126921628604</v>
      </c>
    </row>
    <row r="75" spans="1:12" ht="45" x14ac:dyDescent="0.25">
      <c r="A75" s="36">
        <v>68</v>
      </c>
      <c r="B75" s="68" t="s">
        <v>152</v>
      </c>
      <c r="C75" s="36">
        <v>67</v>
      </c>
      <c r="D75" s="36">
        <v>176</v>
      </c>
      <c r="E75" s="96">
        <f t="shared" si="2"/>
        <v>4093.1437900000001</v>
      </c>
      <c r="F75" s="21">
        <v>2237.34402</v>
      </c>
      <c r="G75" s="21">
        <v>0</v>
      </c>
      <c r="H75" s="21">
        <v>1769.83277</v>
      </c>
      <c r="I75" s="21">
        <v>0</v>
      </c>
      <c r="J75" s="21">
        <v>85.966999999999999</v>
      </c>
      <c r="K75" s="38">
        <v>881.8</v>
      </c>
    </row>
    <row r="76" spans="1:12" ht="45" x14ac:dyDescent="0.25">
      <c r="A76" s="36">
        <v>69</v>
      </c>
      <c r="B76" s="68" t="s">
        <v>153</v>
      </c>
      <c r="C76" s="36">
        <v>100</v>
      </c>
      <c r="D76" s="36">
        <v>254</v>
      </c>
      <c r="E76" s="96">
        <f t="shared" si="2"/>
        <v>5580.2429499999998</v>
      </c>
      <c r="F76" s="21">
        <v>4283.8017399999999</v>
      </c>
      <c r="G76" s="21">
        <v>0</v>
      </c>
      <c r="H76" s="21">
        <v>1114.9987100000001</v>
      </c>
      <c r="I76" s="21">
        <v>0</v>
      </c>
      <c r="J76" s="21">
        <v>181.4425</v>
      </c>
      <c r="K76" s="21">
        <v>4609.8</v>
      </c>
    </row>
    <row r="77" spans="1:12" ht="45" x14ac:dyDescent="0.25">
      <c r="A77" s="36">
        <v>70</v>
      </c>
      <c r="B77" s="68" t="s">
        <v>154</v>
      </c>
      <c r="C77" s="36">
        <v>127</v>
      </c>
      <c r="D77" s="36">
        <v>261</v>
      </c>
      <c r="E77" s="96">
        <f>SUM(F77:J77)</f>
        <v>6647.2189200000003</v>
      </c>
      <c r="F77" s="21">
        <v>4358.4861700000001</v>
      </c>
      <c r="G77" s="21">
        <v>0</v>
      </c>
      <c r="H77" s="21">
        <v>1931.7327499999999</v>
      </c>
      <c r="I77" s="21">
        <v>0</v>
      </c>
      <c r="J77" s="21">
        <v>357</v>
      </c>
      <c r="K77" s="21">
        <v>5203.5</v>
      </c>
    </row>
    <row r="78" spans="1:12" ht="45" x14ac:dyDescent="0.25">
      <c r="A78" s="36">
        <v>71</v>
      </c>
      <c r="B78" s="68" t="s">
        <v>155</v>
      </c>
      <c r="C78" s="36">
        <v>157</v>
      </c>
      <c r="D78" s="36">
        <v>309</v>
      </c>
      <c r="E78" s="96">
        <f t="shared" si="2"/>
        <v>8222.4738600000001</v>
      </c>
      <c r="F78" s="21">
        <v>6413.5555400000003</v>
      </c>
      <c r="G78" s="21">
        <v>0</v>
      </c>
      <c r="H78" s="21">
        <v>1520.5576100000001</v>
      </c>
      <c r="I78" s="21">
        <v>0</v>
      </c>
      <c r="J78" s="21">
        <v>288.36070999999998</v>
      </c>
      <c r="K78" s="38">
        <v>6896.9000000000005</v>
      </c>
    </row>
    <row r="79" spans="1:12" x14ac:dyDescent="0.25">
      <c r="A79" s="36">
        <v>72</v>
      </c>
      <c r="B79" s="68" t="s">
        <v>156</v>
      </c>
      <c r="C79" s="36">
        <v>98</v>
      </c>
      <c r="D79" s="36">
        <v>117</v>
      </c>
      <c r="E79" s="96">
        <v>925</v>
      </c>
      <c r="F79" s="21">
        <v>925</v>
      </c>
      <c r="G79" s="21">
        <v>0</v>
      </c>
      <c r="H79" s="21">
        <v>0</v>
      </c>
      <c r="I79" s="21">
        <v>0</v>
      </c>
      <c r="J79" s="21">
        <v>0</v>
      </c>
      <c r="K79" s="21">
        <v>1789.2262500000002</v>
      </c>
    </row>
    <row r="80" spans="1:12" x14ac:dyDescent="0.25">
      <c r="A80" s="6"/>
      <c r="B80" s="6" t="s">
        <v>131</v>
      </c>
      <c r="C80" s="19">
        <f>SUM(C8:C73)</f>
        <v>13186</v>
      </c>
      <c r="D80" s="19"/>
      <c r="E80" s="97">
        <f>SUM(E8:E79)</f>
        <v>1149309.7771200007</v>
      </c>
      <c r="F80" s="62">
        <f>SUM(F8:F79)</f>
        <v>766334.25057000027</v>
      </c>
      <c r="G80" s="62">
        <f t="shared" ref="G80:J80" si="3">SUM(G8:G79)</f>
        <v>114101.63</v>
      </c>
      <c r="H80" s="62">
        <f t="shared" si="3"/>
        <v>232022.12914000003</v>
      </c>
      <c r="I80" s="62">
        <f t="shared" si="3"/>
        <v>0</v>
      </c>
      <c r="J80" s="62">
        <f t="shared" si="3"/>
        <v>36851.767410000008</v>
      </c>
      <c r="K80" s="69">
        <f>SUM(K8:K79)</f>
        <v>1156968.5621999998</v>
      </c>
    </row>
    <row r="81" spans="3:5" x14ac:dyDescent="0.25">
      <c r="E81" s="98"/>
    </row>
    <row r="82" spans="3:5" x14ac:dyDescent="0.25">
      <c r="C82" s="50"/>
      <c r="E82" s="99"/>
    </row>
    <row r="85" spans="3:5" x14ac:dyDescent="0.25">
      <c r="E85" s="100"/>
    </row>
    <row r="86" spans="3:5" x14ac:dyDescent="0.25">
      <c r="E86" s="100"/>
    </row>
  </sheetData>
  <autoFilter ref="A4:K80"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9">
    <mergeCell ref="D2:H2"/>
    <mergeCell ref="A4:A7"/>
    <mergeCell ref="B4:B7"/>
    <mergeCell ref="C4:C7"/>
    <mergeCell ref="D4:D7"/>
    <mergeCell ref="E4:K4"/>
    <mergeCell ref="E5:E7"/>
    <mergeCell ref="F5:J6"/>
    <mergeCell ref="K5:K7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79"/>
  <sheetViews>
    <sheetView zoomScale="70" zoomScaleNormal="70" workbookViewId="0">
      <pane xSplit="1" ySplit="6" topLeftCell="B70" activePane="bottomRight" state="frozen"/>
      <selection pane="topRight" activeCell="B1" sqref="B1"/>
      <selection pane="bottomLeft" activeCell="A8" sqref="A8"/>
      <selection pane="bottomRight" activeCell="D7" sqref="D7"/>
    </sheetView>
  </sheetViews>
  <sheetFormatPr defaultColWidth="9.140625" defaultRowHeight="15" x14ac:dyDescent="0.25"/>
  <cols>
    <col min="1" max="1" width="5.7109375" style="2" customWidth="1"/>
    <col min="2" max="2" width="43.7109375" style="2" customWidth="1"/>
    <col min="3" max="3" width="14.42578125" style="2" customWidth="1"/>
    <col min="4" max="4" width="17" style="2" customWidth="1"/>
    <col min="5" max="5" width="16.5703125" style="2" customWidth="1"/>
    <col min="6" max="6" width="17.7109375" style="2" customWidth="1"/>
    <col min="7" max="7" width="14.85546875" style="2" customWidth="1"/>
    <col min="8" max="8" width="11.140625" style="2" bestFit="1" customWidth="1"/>
    <col min="9" max="9" width="13.7109375" style="2" bestFit="1" customWidth="1"/>
    <col min="10" max="10" width="16" style="2" customWidth="1"/>
    <col min="11" max="11" width="13.5703125" style="53" customWidth="1"/>
    <col min="12" max="12" width="17.7109375" style="2" bestFit="1" customWidth="1"/>
    <col min="13" max="13" width="12.5703125" style="2" customWidth="1"/>
    <col min="14" max="14" width="13.7109375" style="2" bestFit="1" customWidth="1"/>
    <col min="15" max="15" width="14.85546875" style="2" bestFit="1" customWidth="1"/>
    <col min="16" max="16" width="22.7109375" style="2" customWidth="1"/>
    <col min="17" max="16384" width="9.140625" style="2"/>
  </cols>
  <sheetData>
    <row r="1" spans="1:15" ht="15.75" x14ac:dyDescent="0.25">
      <c r="O1" s="46" t="s">
        <v>139</v>
      </c>
    </row>
    <row r="2" spans="1:15" ht="39" customHeight="1" x14ac:dyDescent="0.25">
      <c r="D2" s="101" t="s">
        <v>145</v>
      </c>
      <c r="E2" s="101"/>
      <c r="F2" s="101"/>
      <c r="G2" s="101"/>
      <c r="H2" s="101"/>
      <c r="I2" s="101"/>
      <c r="J2" s="101"/>
    </row>
    <row r="5" spans="1:15" x14ac:dyDescent="0.25">
      <c r="A5" s="143" t="s">
        <v>80</v>
      </c>
      <c r="B5" s="143" t="s">
        <v>88</v>
      </c>
      <c r="C5" s="143" t="s">
        <v>89</v>
      </c>
      <c r="D5" s="143" t="s">
        <v>90</v>
      </c>
      <c r="E5" s="143" t="s">
        <v>91</v>
      </c>
      <c r="F5" s="143" t="s">
        <v>135</v>
      </c>
      <c r="G5" s="143" t="s">
        <v>92</v>
      </c>
      <c r="H5" s="143"/>
      <c r="I5" s="143"/>
      <c r="J5" s="143"/>
      <c r="K5" s="142" t="s">
        <v>93</v>
      </c>
      <c r="L5" s="143" t="s">
        <v>94</v>
      </c>
      <c r="M5" s="143"/>
      <c r="N5" s="143"/>
      <c r="O5" s="143"/>
    </row>
    <row r="6" spans="1:15" ht="83.25" customHeight="1" x14ac:dyDescent="0.25">
      <c r="A6" s="143"/>
      <c r="B6" s="143"/>
      <c r="C6" s="143"/>
      <c r="D6" s="143"/>
      <c r="E6" s="143"/>
      <c r="F6" s="143"/>
      <c r="G6" s="35" t="s">
        <v>95</v>
      </c>
      <c r="H6" s="35" t="s">
        <v>96</v>
      </c>
      <c r="I6" s="35" t="s">
        <v>97</v>
      </c>
      <c r="J6" s="35" t="s">
        <v>0</v>
      </c>
      <c r="K6" s="142"/>
      <c r="L6" s="35" t="s">
        <v>98</v>
      </c>
      <c r="M6" s="35" t="s">
        <v>96</v>
      </c>
      <c r="N6" s="35" t="s">
        <v>97</v>
      </c>
      <c r="O6" s="35" t="s">
        <v>0</v>
      </c>
    </row>
    <row r="7" spans="1:15" ht="30" x14ac:dyDescent="0.25">
      <c r="A7" s="36">
        <v>1</v>
      </c>
      <c r="B7" s="36" t="s">
        <v>14</v>
      </c>
      <c r="C7" s="9">
        <v>16</v>
      </c>
      <c r="D7" s="9">
        <v>23931.25</v>
      </c>
      <c r="E7" s="9">
        <v>27700</v>
      </c>
      <c r="F7" s="9">
        <f>E7/D7</f>
        <v>1.1574823713763385</v>
      </c>
      <c r="G7" s="9">
        <v>6437.2935700000007</v>
      </c>
      <c r="H7" s="9" t="s">
        <v>146</v>
      </c>
      <c r="I7" s="9">
        <v>1546.586</v>
      </c>
      <c r="J7" s="9">
        <f>SUM(G7:I7)</f>
        <v>7983.879570000001</v>
      </c>
      <c r="K7" s="9">
        <f>J7/'Форма 1'!R8</f>
        <v>0.60801549937133625</v>
      </c>
      <c r="L7" s="9">
        <v>1937.51668</v>
      </c>
      <c r="M7" s="9" t="s">
        <v>146</v>
      </c>
      <c r="N7" s="9">
        <v>467.09020000000004</v>
      </c>
      <c r="O7" s="9">
        <f>SUM(L7:N7)</f>
        <v>2404.6068799999998</v>
      </c>
    </row>
    <row r="8" spans="1:15" ht="30" x14ac:dyDescent="0.25">
      <c r="A8" s="36">
        <v>2</v>
      </c>
      <c r="B8" s="36" t="s">
        <v>15</v>
      </c>
      <c r="C8" s="9">
        <v>31</v>
      </c>
      <c r="D8" s="9">
        <v>19119.349999999999</v>
      </c>
      <c r="E8" s="9">
        <v>22025.000000000004</v>
      </c>
      <c r="F8" s="9">
        <f t="shared" ref="F8:F12" si="0">E8/D8</f>
        <v>1.1519743087500363</v>
      </c>
      <c r="G8" s="9">
        <v>4718.1394800000007</v>
      </c>
      <c r="H8" s="9">
        <v>21.42511</v>
      </c>
      <c r="I8" s="9">
        <v>1040.1010000000001</v>
      </c>
      <c r="J8" s="9">
        <f>SUM(G8:I8)</f>
        <v>5779.6655900000005</v>
      </c>
      <c r="K8" s="9">
        <f>J8/'Форма 1'!R9</f>
        <v>0.58153968127900013</v>
      </c>
      <c r="L8" s="9">
        <v>1415.79081</v>
      </c>
      <c r="M8" s="9">
        <v>6.4703999999999997</v>
      </c>
      <c r="N8" s="9">
        <v>314.17399999999998</v>
      </c>
      <c r="O8" s="9">
        <f t="shared" ref="O8:O68" si="1">SUM(L8:N8)</f>
        <v>1736.4352099999999</v>
      </c>
    </row>
    <row r="9" spans="1:15" ht="30" x14ac:dyDescent="0.25">
      <c r="A9" s="36">
        <v>3</v>
      </c>
      <c r="B9" s="36" t="s">
        <v>16</v>
      </c>
      <c r="C9" s="9">
        <v>34.4</v>
      </c>
      <c r="D9" s="9">
        <v>21229.65</v>
      </c>
      <c r="E9" s="9">
        <v>33558.333333333328</v>
      </c>
      <c r="F9" s="9">
        <f t="shared" si="0"/>
        <v>1.5807294671995689</v>
      </c>
      <c r="G9" s="9">
        <v>6199.0408899999993</v>
      </c>
      <c r="H9" s="9" t="s">
        <v>146</v>
      </c>
      <c r="I9" s="9">
        <v>1338.6869999999999</v>
      </c>
      <c r="J9" s="9">
        <f t="shared" ref="J9:J20" si="2">SUM(G9:I9)</f>
        <v>7537.7278899999992</v>
      </c>
      <c r="K9" s="9">
        <f>J9/'Форма 1'!R10</f>
        <v>0.45519597898279823</v>
      </c>
      <c r="L9" s="9">
        <v>1868.2012199999999</v>
      </c>
      <c r="M9" s="9" t="s">
        <v>146</v>
      </c>
      <c r="N9" s="9">
        <v>404.30099999999999</v>
      </c>
      <c r="O9" s="9">
        <f t="shared" si="1"/>
        <v>2272.5022199999999</v>
      </c>
    </row>
    <row r="10" spans="1:15" ht="30" x14ac:dyDescent="0.25">
      <c r="A10" s="36">
        <v>4</v>
      </c>
      <c r="B10" s="36" t="s">
        <v>17</v>
      </c>
      <c r="C10" s="9">
        <v>33.9</v>
      </c>
      <c r="D10" s="9">
        <v>18616</v>
      </c>
      <c r="E10" s="9">
        <v>28425.000000000007</v>
      </c>
      <c r="F10" s="9">
        <f t="shared" si="0"/>
        <v>1.5269123334765797</v>
      </c>
      <c r="G10" s="9">
        <v>5774.0161200000002</v>
      </c>
      <c r="H10" s="9">
        <v>165.87</v>
      </c>
      <c r="I10" s="9">
        <v>1135.095</v>
      </c>
      <c r="J10" s="9">
        <f t="shared" si="2"/>
        <v>7074.9811200000004</v>
      </c>
      <c r="K10" s="9">
        <f>J10/'Форма 1'!R11</f>
        <v>0.58660153335396825</v>
      </c>
      <c r="L10" s="9">
        <v>1757.6495300000001</v>
      </c>
      <c r="M10" s="9">
        <v>50.092739999999999</v>
      </c>
      <c r="N10" s="9">
        <v>342.815</v>
      </c>
      <c r="O10" s="9">
        <f t="shared" si="1"/>
        <v>2150.5572700000002</v>
      </c>
    </row>
    <row r="11" spans="1:15" ht="30" x14ac:dyDescent="0.25">
      <c r="A11" s="36">
        <v>5</v>
      </c>
      <c r="B11" s="36" t="s">
        <v>18</v>
      </c>
      <c r="C11" s="86">
        <v>64.7</v>
      </c>
      <c r="D11" s="9">
        <v>25097.37</v>
      </c>
      <c r="E11" s="9">
        <v>38716.666666666657</v>
      </c>
      <c r="F11" s="9">
        <f t="shared" si="0"/>
        <v>1.5426583210378879</v>
      </c>
      <c r="G11" s="9">
        <v>13123.38097</v>
      </c>
      <c r="H11" s="9" t="s">
        <v>146</v>
      </c>
      <c r="I11" s="9">
        <v>2903.931</v>
      </c>
      <c r="J11" s="9">
        <f t="shared" si="2"/>
        <v>16027.311970000001</v>
      </c>
      <c r="K11" s="9">
        <f>J11/'Форма 1'!R12</f>
        <v>0.38956008818253429</v>
      </c>
      <c r="L11" s="9">
        <v>3956.9307200000003</v>
      </c>
      <c r="M11" s="9" t="s">
        <v>146</v>
      </c>
      <c r="N11" s="9">
        <v>877.05700000000002</v>
      </c>
      <c r="O11" s="9">
        <f t="shared" si="1"/>
        <v>4833.9877200000001</v>
      </c>
    </row>
    <row r="12" spans="1:15" ht="30" x14ac:dyDescent="0.25">
      <c r="A12" s="36">
        <v>6</v>
      </c>
      <c r="B12" s="36" t="s">
        <v>19</v>
      </c>
      <c r="C12" s="86">
        <v>58.7</v>
      </c>
      <c r="D12" s="9">
        <v>23884.16</v>
      </c>
      <c r="E12" s="9">
        <v>34150</v>
      </c>
      <c r="F12" s="9">
        <f t="shared" si="0"/>
        <v>1.4298179211661619</v>
      </c>
      <c r="G12" s="9">
        <v>10229.288919999999</v>
      </c>
      <c r="H12" s="9" t="s">
        <v>146</v>
      </c>
      <c r="I12" s="9">
        <v>2529.8429999999998</v>
      </c>
      <c r="J12" s="9">
        <f t="shared" si="2"/>
        <v>12759.13192</v>
      </c>
      <c r="K12" s="9">
        <f>J12/'Форма 1'!R13</f>
        <v>0.53824357567458914</v>
      </c>
      <c r="L12" s="9">
        <v>3078.77997</v>
      </c>
      <c r="M12" s="9" t="s">
        <v>146</v>
      </c>
      <c r="N12" s="9">
        <v>764.1081999999999</v>
      </c>
      <c r="O12" s="9">
        <f>SUM(L12:N12)</f>
        <v>3842.8881700000002</v>
      </c>
    </row>
    <row r="13" spans="1:15" x14ac:dyDescent="0.25">
      <c r="A13" s="36">
        <v>7</v>
      </c>
      <c r="B13" s="36" t="s">
        <v>20</v>
      </c>
      <c r="C13" s="86">
        <v>58.3</v>
      </c>
      <c r="D13" s="9">
        <v>27850.77</v>
      </c>
      <c r="E13" s="9">
        <v>58258.333333333328</v>
      </c>
      <c r="F13" s="9">
        <f t="shared" ref="F13:F76" si="3">E13/D13</f>
        <v>2.0918033265627245</v>
      </c>
      <c r="G13" s="9">
        <v>16081.965779999999</v>
      </c>
      <c r="H13" s="9" t="s">
        <v>146</v>
      </c>
      <c r="I13" s="9">
        <v>1107.4586000000002</v>
      </c>
      <c r="J13" s="9">
        <f t="shared" si="2"/>
        <v>17189.42438</v>
      </c>
      <c r="K13" s="9">
        <f>J13/'Форма 1'!R14</f>
        <v>0.56563644482970432</v>
      </c>
      <c r="L13" s="9">
        <v>4628.9286300000003</v>
      </c>
      <c r="M13" s="9" t="s">
        <v>146</v>
      </c>
      <c r="N13" s="9">
        <v>334.51585</v>
      </c>
      <c r="O13" s="9">
        <f t="shared" si="1"/>
        <v>4963.4444800000001</v>
      </c>
    </row>
    <row r="14" spans="1:15" x14ac:dyDescent="0.25">
      <c r="A14" s="36">
        <v>8</v>
      </c>
      <c r="B14" s="36" t="s">
        <v>21</v>
      </c>
      <c r="C14" s="86">
        <v>47.1</v>
      </c>
      <c r="D14" s="9">
        <v>29212.31</v>
      </c>
      <c r="E14" s="9">
        <v>36916.666666666664</v>
      </c>
      <c r="F14" s="9">
        <f t="shared" si="3"/>
        <v>1.2637366461832926</v>
      </c>
      <c r="G14" s="9">
        <v>10984.00994</v>
      </c>
      <c r="H14" s="9" t="s">
        <v>146</v>
      </c>
      <c r="I14" s="9">
        <v>1019.9444</v>
      </c>
      <c r="J14" s="9">
        <f t="shared" si="2"/>
        <v>12003.95434</v>
      </c>
      <c r="K14" s="9">
        <f>J14/'Форма 1'!R15</f>
        <v>0.14541757281562956</v>
      </c>
      <c r="L14" s="9">
        <v>3302.04898</v>
      </c>
      <c r="M14" s="9" t="s">
        <v>146</v>
      </c>
      <c r="N14" s="9">
        <v>308.04165</v>
      </c>
      <c r="O14" s="9">
        <f t="shared" si="1"/>
        <v>3610.0906300000001</v>
      </c>
    </row>
    <row r="15" spans="1:15" ht="30" x14ac:dyDescent="0.25">
      <c r="A15" s="36">
        <v>9</v>
      </c>
      <c r="B15" s="36" t="s">
        <v>22</v>
      </c>
      <c r="C15" s="86">
        <v>35.200000000000003</v>
      </c>
      <c r="D15" s="9">
        <v>28275.57</v>
      </c>
      <c r="E15" s="9">
        <v>59516.666666666672</v>
      </c>
      <c r="F15" s="9">
        <f t="shared" si="3"/>
        <v>2.1048794654419583</v>
      </c>
      <c r="G15" s="9">
        <v>10874.572169999999</v>
      </c>
      <c r="H15" s="9" t="s">
        <v>146</v>
      </c>
      <c r="I15" s="9">
        <v>771.82960000000003</v>
      </c>
      <c r="J15" s="9">
        <f t="shared" si="2"/>
        <v>11646.40177</v>
      </c>
      <c r="K15" s="9">
        <f>J15/'Форма 1'!R16</f>
        <v>0.6328060083852054</v>
      </c>
      <c r="L15" s="9">
        <v>3254.9232400000001</v>
      </c>
      <c r="M15" s="9" t="s">
        <v>146</v>
      </c>
      <c r="N15" s="9">
        <v>233.05889999999999</v>
      </c>
      <c r="O15" s="9">
        <f t="shared" si="1"/>
        <v>3487.9821400000001</v>
      </c>
    </row>
    <row r="16" spans="1:15" ht="30" x14ac:dyDescent="0.25">
      <c r="A16" s="36">
        <v>10</v>
      </c>
      <c r="B16" s="36" t="s">
        <v>23</v>
      </c>
      <c r="C16" s="86">
        <v>42</v>
      </c>
      <c r="D16" s="9">
        <v>34197.620000000003</v>
      </c>
      <c r="E16" s="9">
        <v>6325</v>
      </c>
      <c r="F16" s="9">
        <f t="shared" si="3"/>
        <v>0.18495439156292162</v>
      </c>
      <c r="G16" s="9">
        <v>11853.062460000001</v>
      </c>
      <c r="H16" s="9" t="s">
        <v>146</v>
      </c>
      <c r="I16" s="9">
        <v>1140.67966</v>
      </c>
      <c r="J16" s="9">
        <f t="shared" si="2"/>
        <v>12993.742120000001</v>
      </c>
      <c r="K16" s="9">
        <f>J16/'Форма 1'!R17</f>
        <v>0.13252309853842323</v>
      </c>
      <c r="L16" s="9">
        <v>3535.2939999999999</v>
      </c>
      <c r="M16" s="9" t="s">
        <v>146</v>
      </c>
      <c r="N16" s="9">
        <v>344.47701000000001</v>
      </c>
      <c r="O16" s="9">
        <f t="shared" si="1"/>
        <v>3879.7710099999999</v>
      </c>
    </row>
    <row r="17" spans="1:15" ht="30" x14ac:dyDescent="0.25">
      <c r="A17" s="36">
        <v>11</v>
      </c>
      <c r="B17" s="36" t="s">
        <v>24</v>
      </c>
      <c r="C17" s="86">
        <v>40</v>
      </c>
      <c r="D17" s="9">
        <v>25978.5</v>
      </c>
      <c r="E17" s="9">
        <v>44716.666666666672</v>
      </c>
      <c r="F17" s="9">
        <f t="shared" si="3"/>
        <v>1.7212951735730189</v>
      </c>
      <c r="G17" s="9">
        <v>11011.934740000001</v>
      </c>
      <c r="H17" s="9" t="s">
        <v>146</v>
      </c>
      <c r="I17" s="9">
        <v>699.86069999999995</v>
      </c>
      <c r="J17" s="9">
        <f t="shared" si="2"/>
        <v>11711.79544</v>
      </c>
      <c r="K17" s="9">
        <f>J17/'Форма 1'!R18</f>
        <v>0.48538659852011562</v>
      </c>
      <c r="L17" s="9">
        <v>3313.4127400000002</v>
      </c>
      <c r="M17" s="9" t="s">
        <v>146</v>
      </c>
      <c r="N17" s="9">
        <v>211.3603</v>
      </c>
      <c r="O17" s="9">
        <f t="shared" si="1"/>
        <v>3524.77304</v>
      </c>
    </row>
    <row r="18" spans="1:15" ht="30" x14ac:dyDescent="0.25">
      <c r="A18" s="36">
        <v>12</v>
      </c>
      <c r="B18" s="36" t="s">
        <v>25</v>
      </c>
      <c r="C18" s="86">
        <v>66.599999999999994</v>
      </c>
      <c r="D18" s="9">
        <v>24924.92</v>
      </c>
      <c r="E18" s="9">
        <v>26641.666666666664</v>
      </c>
      <c r="F18" s="9">
        <f t="shared" si="3"/>
        <v>1.0688767172238332</v>
      </c>
      <c r="G18" s="9">
        <v>16286.509400000001</v>
      </c>
      <c r="H18" s="9" t="s">
        <v>146</v>
      </c>
      <c r="I18" s="9">
        <v>1213.5838000000001</v>
      </c>
      <c r="J18" s="9">
        <f t="shared" si="2"/>
        <v>17500.093199999999</v>
      </c>
      <c r="K18" s="9">
        <f>J18/'Форма 1'!R19</f>
        <v>0.53832823296298815</v>
      </c>
      <c r="L18" s="9">
        <v>4889.33914</v>
      </c>
      <c r="M18" s="9" t="s">
        <v>146</v>
      </c>
      <c r="N18" s="9">
        <v>366.48429999999996</v>
      </c>
      <c r="O18" s="9">
        <f t="shared" si="1"/>
        <v>5255.8234400000001</v>
      </c>
    </row>
    <row r="19" spans="1:15" x14ac:dyDescent="0.25">
      <c r="A19" s="36">
        <v>13</v>
      </c>
      <c r="B19" s="36" t="s">
        <v>26</v>
      </c>
      <c r="C19" s="9">
        <v>66.099999999999994</v>
      </c>
      <c r="D19" s="9">
        <v>23632.38</v>
      </c>
      <c r="E19" s="9">
        <v>52208.333333333321</v>
      </c>
      <c r="F19" s="9">
        <f t="shared" si="3"/>
        <v>2.209186435447184</v>
      </c>
      <c r="G19" s="9">
        <v>16250.64532</v>
      </c>
      <c r="H19" s="9" t="s">
        <v>146</v>
      </c>
      <c r="I19" s="9">
        <v>1088.1314600000001</v>
      </c>
      <c r="J19" s="9">
        <f t="shared" si="2"/>
        <v>17338.77678</v>
      </c>
      <c r="K19" s="9">
        <f>J19/'Форма 1'!R20</f>
        <v>0.52163349883093924</v>
      </c>
      <c r="L19" s="9">
        <v>4870.7550599999995</v>
      </c>
      <c r="M19" s="9" t="s">
        <v>146</v>
      </c>
      <c r="N19" s="9">
        <v>328.55495999999999</v>
      </c>
      <c r="O19" s="9">
        <f t="shared" si="1"/>
        <v>5199.3100199999999</v>
      </c>
    </row>
    <row r="20" spans="1:15" ht="30" x14ac:dyDescent="0.25">
      <c r="A20" s="36">
        <v>14</v>
      </c>
      <c r="B20" s="36" t="s">
        <v>27</v>
      </c>
      <c r="C20" s="9">
        <v>33.6</v>
      </c>
      <c r="D20" s="9">
        <v>20654.759999999998</v>
      </c>
      <c r="E20" s="9">
        <v>41000.000000000007</v>
      </c>
      <c r="F20" s="9">
        <f t="shared" si="3"/>
        <v>1.9850145922780031</v>
      </c>
      <c r="G20" s="9">
        <v>6224.89401</v>
      </c>
      <c r="H20" s="9">
        <v>181.84801000000002</v>
      </c>
      <c r="I20" s="9">
        <v>1561.8689999999999</v>
      </c>
      <c r="J20" s="9">
        <f t="shared" si="2"/>
        <v>7968.6110199999994</v>
      </c>
      <c r="K20" s="9">
        <f>J20/'Форма 1'!R21</f>
        <v>0.55655889060833785</v>
      </c>
      <c r="L20" s="9">
        <v>1868.8289499999998</v>
      </c>
      <c r="M20" s="9">
        <v>53.940330000000003</v>
      </c>
      <c r="N20" s="9">
        <v>471.7072</v>
      </c>
      <c r="O20" s="9">
        <f t="shared" si="1"/>
        <v>2394.4764799999998</v>
      </c>
    </row>
    <row r="21" spans="1:15" ht="30" x14ac:dyDescent="0.25">
      <c r="A21" s="36">
        <v>15</v>
      </c>
      <c r="B21" s="36" t="s">
        <v>28</v>
      </c>
      <c r="C21" s="9">
        <v>37.799999999999997</v>
      </c>
      <c r="D21" s="9">
        <v>18598.73</v>
      </c>
      <c r="E21" s="9">
        <v>30049.999999999996</v>
      </c>
      <c r="F21" s="9">
        <f t="shared" si="3"/>
        <v>1.6157017172677919</v>
      </c>
      <c r="G21" s="9">
        <v>5780.1303699999999</v>
      </c>
      <c r="H21" s="9" t="s">
        <v>146</v>
      </c>
      <c r="I21" s="9">
        <v>1429.181</v>
      </c>
      <c r="J21" s="9">
        <f t="shared" ref="J21:J26" si="4">SUM(G21:I21)</f>
        <v>7209.3113699999994</v>
      </c>
      <c r="K21" s="9">
        <f>J21/'Форма 1'!R22</f>
        <v>0.58684317455593837</v>
      </c>
      <c r="L21" s="9">
        <v>1736.9007799999999</v>
      </c>
      <c r="M21" s="9" t="s">
        <v>146</v>
      </c>
      <c r="N21" s="9">
        <v>431.63499999999999</v>
      </c>
      <c r="O21" s="9">
        <f t="shared" si="1"/>
        <v>2168.5357800000002</v>
      </c>
    </row>
    <row r="22" spans="1:15" ht="30" x14ac:dyDescent="0.25">
      <c r="A22" s="36">
        <v>16</v>
      </c>
      <c r="B22" s="36" t="s">
        <v>29</v>
      </c>
      <c r="C22" s="9">
        <v>24.5</v>
      </c>
      <c r="D22" s="9">
        <v>16477.55</v>
      </c>
      <c r="E22" s="9">
        <v>17350</v>
      </c>
      <c r="F22" s="9">
        <f t="shared" si="3"/>
        <v>1.0529477986715259</v>
      </c>
      <c r="G22" s="9">
        <v>4158.1666500000001</v>
      </c>
      <c r="H22" s="9" t="s">
        <v>146</v>
      </c>
      <c r="I22" s="9">
        <v>1137.395</v>
      </c>
      <c r="J22" s="9">
        <f t="shared" si="4"/>
        <v>5295.5616499999996</v>
      </c>
      <c r="K22" s="9">
        <f>J22/'Форма 1'!R23</f>
        <v>0.5104419116536576</v>
      </c>
      <c r="L22" s="9">
        <v>1257.02206</v>
      </c>
      <c r="M22" s="9" t="s">
        <v>146</v>
      </c>
      <c r="N22" s="9">
        <v>343.51499999999999</v>
      </c>
      <c r="O22" s="9">
        <f t="shared" si="1"/>
        <v>1600.5370600000001</v>
      </c>
    </row>
    <row r="23" spans="1:15" x14ac:dyDescent="0.25">
      <c r="A23" s="36">
        <v>17</v>
      </c>
      <c r="B23" s="36" t="s">
        <v>30</v>
      </c>
      <c r="C23" s="9">
        <v>16.5</v>
      </c>
      <c r="D23" s="9">
        <v>24716.87</v>
      </c>
      <c r="E23" s="9">
        <v>27741.666666666675</v>
      </c>
      <c r="F23" s="9">
        <f t="shared" si="3"/>
        <v>1.1223778199532011</v>
      </c>
      <c r="G23" s="9">
        <v>2337.1875800000003</v>
      </c>
      <c r="H23" s="9" t="s">
        <v>146</v>
      </c>
      <c r="I23" s="9">
        <v>832.98590000000002</v>
      </c>
      <c r="J23" s="9">
        <f t="shared" si="4"/>
        <v>3170.1734800000004</v>
      </c>
      <c r="K23" s="9">
        <f>J23/'Форма 1'!R24</f>
        <v>0.20783639093628656</v>
      </c>
      <c r="L23" s="9">
        <v>703.80867000000001</v>
      </c>
      <c r="M23" s="9" t="s">
        <v>146</v>
      </c>
      <c r="N23" s="9">
        <v>251.82400000000001</v>
      </c>
      <c r="O23" s="9">
        <f>SUM(L23:N23)</f>
        <v>955.63266999999996</v>
      </c>
    </row>
    <row r="24" spans="1:15" ht="30" x14ac:dyDescent="0.25">
      <c r="A24" s="36">
        <v>18</v>
      </c>
      <c r="B24" s="36" t="s">
        <v>31</v>
      </c>
      <c r="C24" s="9">
        <v>12.5</v>
      </c>
      <c r="D24" s="9">
        <v>4022.08</v>
      </c>
      <c r="E24" s="9">
        <v>26883.333333333336</v>
      </c>
      <c r="F24" s="9">
        <f t="shared" si="3"/>
        <v>6.6839379955976348</v>
      </c>
      <c r="G24" s="9">
        <v>5141.1996399999998</v>
      </c>
      <c r="H24" s="9" t="s">
        <v>146</v>
      </c>
      <c r="I24" s="9">
        <v>1161.9680000000001</v>
      </c>
      <c r="J24" s="9">
        <f t="shared" si="4"/>
        <v>6303.1676399999997</v>
      </c>
      <c r="K24" s="9">
        <f>J24/'Форма 1'!R25</f>
        <v>0.31371748309022252</v>
      </c>
      <c r="L24" s="9">
        <v>1541.6565600000001</v>
      </c>
      <c r="M24" s="9" t="s">
        <v>146</v>
      </c>
      <c r="N24" s="9">
        <v>361.20699999999999</v>
      </c>
      <c r="O24" s="9">
        <f t="shared" si="1"/>
        <v>1902.8635600000002</v>
      </c>
    </row>
    <row r="25" spans="1:15" ht="30" x14ac:dyDescent="0.25">
      <c r="A25" s="36">
        <v>19</v>
      </c>
      <c r="B25" s="36" t="s">
        <v>32</v>
      </c>
      <c r="C25" s="9">
        <v>25.5</v>
      </c>
      <c r="D25" s="9">
        <v>22764.71</v>
      </c>
      <c r="E25" s="9">
        <v>28783.333333333336</v>
      </c>
      <c r="F25" s="9">
        <f t="shared" si="3"/>
        <v>1.2643839228935196</v>
      </c>
      <c r="G25" s="9">
        <v>4343.3280000000004</v>
      </c>
      <c r="H25" s="9" t="s">
        <v>146</v>
      </c>
      <c r="I25" s="9">
        <v>949.62900000000002</v>
      </c>
      <c r="J25" s="9">
        <f t="shared" si="4"/>
        <v>5292.9570000000003</v>
      </c>
      <c r="K25" s="9">
        <f>J25/'Форма 1'!R26</f>
        <v>0.52109650341927394</v>
      </c>
      <c r="L25" s="9">
        <v>1307.21883</v>
      </c>
      <c r="M25" s="9" t="s">
        <v>146</v>
      </c>
      <c r="N25" s="9">
        <v>286.81</v>
      </c>
      <c r="O25" s="9">
        <f t="shared" si="1"/>
        <v>1594.02883</v>
      </c>
    </row>
    <row r="26" spans="1:15" ht="30" x14ac:dyDescent="0.25">
      <c r="A26" s="36">
        <v>20</v>
      </c>
      <c r="B26" s="36" t="s">
        <v>33</v>
      </c>
      <c r="C26" s="9">
        <v>14</v>
      </c>
      <c r="D26" s="9">
        <v>14566.67</v>
      </c>
      <c r="E26" s="9">
        <v>22891.666666666668</v>
      </c>
      <c r="F26" s="9">
        <f t="shared" si="3"/>
        <v>1.5715099378695796</v>
      </c>
      <c r="G26" s="9">
        <v>1846.0973300000001</v>
      </c>
      <c r="H26" s="9" t="s">
        <v>146</v>
      </c>
      <c r="I26" s="9">
        <v>388.51600000000002</v>
      </c>
      <c r="J26" s="9">
        <f t="shared" si="4"/>
        <v>2234.6133300000001</v>
      </c>
      <c r="K26" s="9">
        <f>J26/'Форма 1'!R27</f>
        <v>0.56091794474816503</v>
      </c>
      <c r="L26" s="9">
        <v>554.92418000000009</v>
      </c>
      <c r="M26" s="9" t="s">
        <v>146</v>
      </c>
      <c r="N26" s="9">
        <v>117.333</v>
      </c>
      <c r="O26" s="9">
        <f t="shared" si="1"/>
        <v>672.25718000000006</v>
      </c>
    </row>
    <row r="27" spans="1:15" ht="30" x14ac:dyDescent="0.25">
      <c r="A27" s="36">
        <v>21</v>
      </c>
      <c r="B27" s="36" t="s">
        <v>34</v>
      </c>
      <c r="C27" s="9">
        <v>15.4</v>
      </c>
      <c r="D27" s="9">
        <v>25266.23</v>
      </c>
      <c r="E27" s="9">
        <v>26916.666666666672</v>
      </c>
      <c r="F27" s="9">
        <f t="shared" si="3"/>
        <v>1.0653218413141443</v>
      </c>
      <c r="G27" s="9">
        <v>6984.2393200000006</v>
      </c>
      <c r="H27" s="9" t="s">
        <v>146</v>
      </c>
      <c r="I27" s="9">
        <v>2254.99242</v>
      </c>
      <c r="J27" s="9">
        <f t="shared" ref="J27:J36" si="5">SUM(G27:I27)</f>
        <v>9239.2317400000011</v>
      </c>
      <c r="K27" s="9">
        <f>J27/'Форма 1'!R28</f>
        <v>1.4079886688084799</v>
      </c>
      <c r="L27" s="9">
        <v>746.43705</v>
      </c>
      <c r="M27" s="9" t="s">
        <v>146</v>
      </c>
      <c r="N27" s="9">
        <v>197.042</v>
      </c>
      <c r="O27" s="9">
        <f t="shared" si="1"/>
        <v>943.47905000000003</v>
      </c>
    </row>
    <row r="28" spans="1:15" x14ac:dyDescent="0.25">
      <c r="A28" s="36">
        <v>22</v>
      </c>
      <c r="B28" s="36" t="s">
        <v>35</v>
      </c>
      <c r="C28" s="9">
        <v>17</v>
      </c>
      <c r="D28" s="9">
        <v>16300</v>
      </c>
      <c r="E28" s="9">
        <v>26350.000000000004</v>
      </c>
      <c r="F28" s="9">
        <f t="shared" si="3"/>
        <v>1.6165644171779143</v>
      </c>
      <c r="G28" s="9">
        <v>2087.11553</v>
      </c>
      <c r="H28" s="9" t="s">
        <v>146</v>
      </c>
      <c r="I28" s="9">
        <v>846.38300000000004</v>
      </c>
      <c r="J28" s="9">
        <f t="shared" si="5"/>
        <v>2933.4985299999998</v>
      </c>
      <c r="K28" s="9">
        <f>J28/'Форма 1'!R29</f>
        <v>0.23582919067819627</v>
      </c>
      <c r="L28" s="9">
        <v>631.40228999999999</v>
      </c>
      <c r="M28" s="9" t="s">
        <v>146</v>
      </c>
      <c r="N28" s="9">
        <v>248.04300000000001</v>
      </c>
      <c r="O28" s="9">
        <f t="shared" si="1"/>
        <v>879.44529</v>
      </c>
    </row>
    <row r="29" spans="1:15" x14ac:dyDescent="0.25">
      <c r="A29" s="36">
        <v>23</v>
      </c>
      <c r="B29" s="36" t="s">
        <v>36</v>
      </c>
      <c r="C29" s="9">
        <v>39</v>
      </c>
      <c r="D29" s="9">
        <v>14025.64</v>
      </c>
      <c r="E29" s="9">
        <v>44466.666666666672</v>
      </c>
      <c r="F29" s="9">
        <f t="shared" si="3"/>
        <v>3.1703841440865923</v>
      </c>
      <c r="G29" s="9">
        <v>6984.2393200000006</v>
      </c>
      <c r="H29" s="9" t="s">
        <v>146</v>
      </c>
      <c r="I29" s="9">
        <v>2254.99242</v>
      </c>
      <c r="J29" s="9">
        <f t="shared" si="5"/>
        <v>9239.2317400000011</v>
      </c>
      <c r="K29" s="9">
        <f>J29/'Форма 1'!R30</f>
        <v>0.29938370408095566</v>
      </c>
      <c r="L29" s="9">
        <v>2093.3171899999998</v>
      </c>
      <c r="M29" s="9" t="s">
        <v>146</v>
      </c>
      <c r="N29" s="9">
        <v>692.96905000000004</v>
      </c>
      <c r="O29" s="9">
        <f t="shared" si="1"/>
        <v>2786.2862399999999</v>
      </c>
    </row>
    <row r="30" spans="1:15" ht="30" x14ac:dyDescent="0.25">
      <c r="A30" s="36">
        <v>24</v>
      </c>
      <c r="B30" s="36" t="s">
        <v>37</v>
      </c>
      <c r="C30" s="9">
        <v>11.3</v>
      </c>
      <c r="D30" s="9">
        <v>18463.72</v>
      </c>
      <c r="E30" s="9">
        <v>23075</v>
      </c>
      <c r="F30" s="9">
        <f t="shared" si="3"/>
        <v>1.2497481547597125</v>
      </c>
      <c r="G30" s="9">
        <v>1683.8238899999999</v>
      </c>
      <c r="H30" s="9" t="s">
        <v>146</v>
      </c>
      <c r="I30" s="9">
        <v>358.02100000000002</v>
      </c>
      <c r="J30" s="9">
        <f t="shared" si="5"/>
        <v>2041.8448899999999</v>
      </c>
      <c r="K30" s="9">
        <f>J30/'Форма 1'!R31</f>
        <v>0.38281356338669037</v>
      </c>
      <c r="L30" s="9">
        <v>508.44515999999999</v>
      </c>
      <c r="M30" s="9" t="s">
        <v>146</v>
      </c>
      <c r="N30" s="9">
        <v>108.19199999999999</v>
      </c>
      <c r="O30" s="9">
        <f t="shared" si="1"/>
        <v>616.63715999999999</v>
      </c>
    </row>
    <row r="31" spans="1:15" ht="30" x14ac:dyDescent="0.25">
      <c r="A31" s="36">
        <v>25</v>
      </c>
      <c r="B31" s="36" t="s">
        <v>38</v>
      </c>
      <c r="C31" s="9">
        <v>28.8</v>
      </c>
      <c r="D31" s="9">
        <v>17479.169999999998</v>
      </c>
      <c r="E31" s="9">
        <v>27600.000000000004</v>
      </c>
      <c r="F31" s="9">
        <f t="shared" si="3"/>
        <v>1.5790223448825091</v>
      </c>
      <c r="G31" s="9">
        <v>3735.7891300000001</v>
      </c>
      <c r="H31" s="9" t="s">
        <v>146</v>
      </c>
      <c r="I31" s="9">
        <v>956.52234999999996</v>
      </c>
      <c r="J31" s="9">
        <f t="shared" si="5"/>
        <v>4692.3114800000003</v>
      </c>
      <c r="K31" s="9">
        <f>J31/'Форма 1'!R32</f>
        <v>0.19602144988845918</v>
      </c>
      <c r="L31" s="9">
        <v>1102.72235</v>
      </c>
      <c r="M31" s="9" t="s">
        <v>146</v>
      </c>
      <c r="N31" s="9">
        <v>316.04665</v>
      </c>
      <c r="O31" s="9">
        <f t="shared" si="1"/>
        <v>1418.769</v>
      </c>
    </row>
    <row r="32" spans="1:15" ht="30" x14ac:dyDescent="0.25">
      <c r="A32" s="36">
        <v>26</v>
      </c>
      <c r="B32" s="36" t="s">
        <v>39</v>
      </c>
      <c r="C32" s="9">
        <v>13.8</v>
      </c>
      <c r="D32" s="9">
        <v>22978.26</v>
      </c>
      <c r="E32" s="9">
        <v>19783.333333333332</v>
      </c>
      <c r="F32" s="9">
        <f t="shared" si="3"/>
        <v>0.86095872069222534</v>
      </c>
      <c r="G32" s="9">
        <v>2371.7044599999999</v>
      </c>
      <c r="H32" s="9" t="s">
        <v>146</v>
      </c>
      <c r="I32" s="9">
        <v>487.54899999999998</v>
      </c>
      <c r="J32" s="9">
        <f t="shared" si="5"/>
        <v>2859.2534599999999</v>
      </c>
      <c r="K32" s="9">
        <f>J32/'Форма 1'!R33</f>
        <v>0.38937463551367762</v>
      </c>
      <c r="L32" s="9">
        <v>714.57349999999997</v>
      </c>
      <c r="M32" s="9" t="s">
        <v>146</v>
      </c>
      <c r="N32" s="9">
        <v>147.24100000000001</v>
      </c>
      <c r="O32" s="9">
        <f t="shared" si="1"/>
        <v>861.81449999999995</v>
      </c>
    </row>
    <row r="33" spans="1:15" x14ac:dyDescent="0.25">
      <c r="A33" s="36">
        <v>27</v>
      </c>
      <c r="B33" s="36" t="s">
        <v>40</v>
      </c>
      <c r="C33" s="9">
        <v>27.5</v>
      </c>
      <c r="D33" s="9">
        <v>20021.82</v>
      </c>
      <c r="E33" s="9">
        <v>24566.666666666668</v>
      </c>
      <c r="F33" s="9">
        <f t="shared" si="3"/>
        <v>1.2269946821351241</v>
      </c>
      <c r="G33" s="9">
        <v>4177.7873199999995</v>
      </c>
      <c r="H33" s="9" t="s">
        <v>146</v>
      </c>
      <c r="I33" s="9">
        <v>1059.04</v>
      </c>
      <c r="J33" s="9">
        <f t="shared" si="5"/>
        <v>5236.8273199999994</v>
      </c>
      <c r="K33" s="9">
        <f>J33/'Форма 1'!R34</f>
        <v>0.2394944462520969</v>
      </c>
      <c r="L33" s="9">
        <v>1257.3664799999999</v>
      </c>
      <c r="M33" s="9" t="s">
        <v>146</v>
      </c>
      <c r="N33" s="9">
        <v>319.85220000000004</v>
      </c>
      <c r="O33" s="9">
        <f t="shared" si="1"/>
        <v>1577.2186799999999</v>
      </c>
    </row>
    <row r="34" spans="1:15" ht="30" x14ac:dyDescent="0.25">
      <c r="A34" s="36">
        <v>28</v>
      </c>
      <c r="B34" s="36" t="s">
        <v>41</v>
      </c>
      <c r="C34" s="9">
        <v>29.3</v>
      </c>
      <c r="D34" s="9">
        <v>25477.82</v>
      </c>
      <c r="E34" s="9">
        <v>18541.666666666668</v>
      </c>
      <c r="F34" s="9">
        <f t="shared" si="3"/>
        <v>0.72775718906353326</v>
      </c>
      <c r="G34" s="9">
        <v>6087</v>
      </c>
      <c r="H34" s="9" t="s">
        <v>146</v>
      </c>
      <c r="I34" s="9">
        <v>1252.028</v>
      </c>
      <c r="J34" s="9">
        <f t="shared" si="5"/>
        <v>7339.0280000000002</v>
      </c>
      <c r="K34" s="9">
        <f>J34/'Форма 1'!R35</f>
        <v>0.56455866171937519</v>
      </c>
      <c r="L34" s="9">
        <v>1832.26259</v>
      </c>
      <c r="M34" s="9" t="s">
        <v>146</v>
      </c>
      <c r="N34" s="9">
        <v>378.1352</v>
      </c>
      <c r="O34" s="9">
        <f t="shared" si="1"/>
        <v>2210.39779</v>
      </c>
    </row>
    <row r="35" spans="1:15" ht="30" x14ac:dyDescent="0.25">
      <c r="A35" s="36">
        <v>29</v>
      </c>
      <c r="B35" s="36" t="s">
        <v>42</v>
      </c>
      <c r="C35" s="9">
        <v>23.2</v>
      </c>
      <c r="D35" s="9">
        <v>19280.169999999998</v>
      </c>
      <c r="E35" s="9">
        <v>21599.999999999996</v>
      </c>
      <c r="F35" s="9">
        <f t="shared" si="3"/>
        <v>1.1203220718489515</v>
      </c>
      <c r="G35" s="9">
        <v>4132.2797499999997</v>
      </c>
      <c r="H35" s="9" t="s">
        <v>146</v>
      </c>
      <c r="I35" s="9">
        <v>1053.42</v>
      </c>
      <c r="J35" s="9">
        <f t="shared" si="5"/>
        <v>5185.6997499999998</v>
      </c>
      <c r="K35" s="9">
        <f>J35/'Форма 1'!R36</f>
        <v>0.512019821144577</v>
      </c>
      <c r="L35" s="9">
        <v>1242.6974599999999</v>
      </c>
      <c r="M35" s="9" t="s">
        <v>146</v>
      </c>
      <c r="N35" s="9">
        <v>318.15499999999997</v>
      </c>
      <c r="O35" s="9">
        <f t="shared" si="1"/>
        <v>1560.8524599999998</v>
      </c>
    </row>
    <row r="36" spans="1:15" ht="30" x14ac:dyDescent="0.25">
      <c r="A36" s="36">
        <v>30</v>
      </c>
      <c r="B36" s="36" t="s">
        <v>43</v>
      </c>
      <c r="C36" s="9">
        <v>21.4</v>
      </c>
      <c r="D36" s="9">
        <v>16107.48</v>
      </c>
      <c r="E36" s="86">
        <v>23191.666666666668</v>
      </c>
      <c r="F36" s="9">
        <f t="shared" si="3"/>
        <v>1.4398072613882908</v>
      </c>
      <c r="G36" s="9">
        <v>4144.3354799999997</v>
      </c>
      <c r="H36" s="9" t="s">
        <v>146</v>
      </c>
      <c r="I36" s="9">
        <v>449.45224000000002</v>
      </c>
      <c r="J36" s="9">
        <f t="shared" si="5"/>
        <v>4593.7877199999994</v>
      </c>
      <c r="K36" s="9">
        <f>J36/'Форма 1'!R37</f>
        <v>0.50460510841287598</v>
      </c>
      <c r="L36" s="9">
        <v>1249.35491</v>
      </c>
      <c r="M36" s="9" t="s">
        <v>146</v>
      </c>
      <c r="N36" s="9">
        <v>135.74089000000001</v>
      </c>
      <c r="O36" s="9">
        <f>SUM(L36:N36)</f>
        <v>1385.0958000000001</v>
      </c>
    </row>
    <row r="37" spans="1:15" ht="30" x14ac:dyDescent="0.25">
      <c r="A37" s="36">
        <v>31</v>
      </c>
      <c r="B37" s="36" t="s">
        <v>44</v>
      </c>
      <c r="C37" s="9">
        <v>43.8</v>
      </c>
      <c r="D37" s="9">
        <v>26347.03</v>
      </c>
      <c r="E37" s="9">
        <v>57508.333333333336</v>
      </c>
      <c r="F37" s="9">
        <f t="shared" si="3"/>
        <v>2.1827254659570108</v>
      </c>
      <c r="G37" s="9">
        <v>12637.544550000001</v>
      </c>
      <c r="H37" s="9" t="s">
        <v>146</v>
      </c>
      <c r="I37" s="9">
        <v>798.22928000000002</v>
      </c>
      <c r="J37" s="9">
        <f>SUM(G37:I37)</f>
        <v>13435.77383</v>
      </c>
      <c r="K37" s="9">
        <f>J37/'Форма 1'!R38</f>
        <v>0.40786748105156978</v>
      </c>
      <c r="L37" s="9">
        <v>3779.17454</v>
      </c>
      <c r="M37" s="9" t="s">
        <v>146</v>
      </c>
      <c r="N37" s="9">
        <v>241.02588</v>
      </c>
      <c r="O37" s="9">
        <f t="shared" si="1"/>
        <v>4020.2004200000001</v>
      </c>
    </row>
    <row r="38" spans="1:15" ht="30" x14ac:dyDescent="0.25">
      <c r="A38" s="36">
        <v>32</v>
      </c>
      <c r="B38" s="36" t="s">
        <v>45</v>
      </c>
      <c r="C38" s="9">
        <v>25.1</v>
      </c>
      <c r="D38" s="9">
        <v>25127.49</v>
      </c>
      <c r="E38" s="9">
        <v>44258.333333333336</v>
      </c>
      <c r="F38" s="9">
        <f t="shared" si="3"/>
        <v>1.7613511470239698</v>
      </c>
      <c r="G38" s="9">
        <v>6268.5599199999997</v>
      </c>
      <c r="H38" s="9" t="s">
        <v>146</v>
      </c>
      <c r="I38" s="9">
        <v>563.52009999999996</v>
      </c>
      <c r="J38" s="9">
        <f>SUM(G38:I38)</f>
        <v>6832.0800199999994</v>
      </c>
      <c r="K38" s="9">
        <f>J38/'Форма 1'!R39</f>
        <v>0.63496897467515012</v>
      </c>
      <c r="L38" s="9">
        <v>1904.8658700000001</v>
      </c>
      <c r="M38" s="9" t="s">
        <v>146</v>
      </c>
      <c r="N38" s="9">
        <v>170.1738</v>
      </c>
      <c r="O38" s="9">
        <f t="shared" si="1"/>
        <v>2075.0396700000001</v>
      </c>
    </row>
    <row r="39" spans="1:15" ht="30" x14ac:dyDescent="0.25">
      <c r="A39" s="36">
        <v>33</v>
      </c>
      <c r="B39" s="36" t="s">
        <v>46</v>
      </c>
      <c r="C39" s="9">
        <v>24.3</v>
      </c>
      <c r="D39" s="9">
        <v>22160.49</v>
      </c>
      <c r="E39" s="9">
        <v>38583.333333333336</v>
      </c>
      <c r="F39" s="9">
        <f t="shared" si="3"/>
        <v>1.74108665166399</v>
      </c>
      <c r="G39" s="9">
        <v>5262.2800199999992</v>
      </c>
      <c r="H39" s="9" t="s">
        <v>146</v>
      </c>
      <c r="I39" s="9">
        <v>865.95460000000003</v>
      </c>
      <c r="J39" s="9">
        <f t="shared" ref="J39:J50" si="6">SUM(G39:I39)</f>
        <v>6128.2346199999993</v>
      </c>
      <c r="K39" s="9">
        <f>J39/'Форма 1'!R40</f>
        <v>0.60838941348636399</v>
      </c>
      <c r="L39" s="9">
        <v>1584.63617</v>
      </c>
      <c r="M39" s="9" t="s">
        <v>146</v>
      </c>
      <c r="N39" s="9">
        <v>261.56815</v>
      </c>
      <c r="O39" s="9">
        <f t="shared" si="1"/>
        <v>1846.2043200000001</v>
      </c>
    </row>
    <row r="40" spans="1:15" ht="30" x14ac:dyDescent="0.25">
      <c r="A40" s="36">
        <v>34</v>
      </c>
      <c r="B40" s="36" t="s">
        <v>47</v>
      </c>
      <c r="C40" s="9">
        <v>21.5</v>
      </c>
      <c r="D40" s="9">
        <v>18170</v>
      </c>
      <c r="E40" s="9">
        <v>25508.333333333336</v>
      </c>
      <c r="F40" s="9">
        <f t="shared" si="3"/>
        <v>1.4038708493854339</v>
      </c>
      <c r="G40" s="9">
        <v>5065.7775499999998</v>
      </c>
      <c r="H40" s="9" t="s">
        <v>146</v>
      </c>
      <c r="I40" s="9">
        <v>252.36010000000002</v>
      </c>
      <c r="J40" s="9">
        <f t="shared" si="6"/>
        <v>5318.1376499999997</v>
      </c>
      <c r="K40" s="9">
        <f>J40/'Форма 1'!R41</f>
        <v>0.73036794182477394</v>
      </c>
      <c r="L40" s="9">
        <v>1529.92127</v>
      </c>
      <c r="M40" s="9" t="s">
        <v>146</v>
      </c>
      <c r="N40" s="9">
        <v>76.156300000000002</v>
      </c>
      <c r="O40" s="9">
        <f t="shared" si="1"/>
        <v>1606.0775700000002</v>
      </c>
    </row>
    <row r="41" spans="1:15" ht="30" x14ac:dyDescent="0.25">
      <c r="A41" s="36">
        <v>35</v>
      </c>
      <c r="B41" s="36" t="s">
        <v>48</v>
      </c>
      <c r="C41" s="9">
        <v>61</v>
      </c>
      <c r="D41" s="9">
        <v>26865.9</v>
      </c>
      <c r="E41" s="9">
        <v>30141.666666666668</v>
      </c>
      <c r="F41" s="9">
        <f t="shared" si="3"/>
        <v>1.1219302784074483</v>
      </c>
      <c r="G41" s="9">
        <v>14648.0664</v>
      </c>
      <c r="H41" s="9" t="s">
        <v>146</v>
      </c>
      <c r="I41" s="9">
        <v>1544.5471</v>
      </c>
      <c r="J41" s="9">
        <f t="shared" si="6"/>
        <v>16192.613499999999</v>
      </c>
      <c r="K41" s="9">
        <f>J41/'Форма 1'!R42</f>
        <v>0.57422610378498185</v>
      </c>
      <c r="L41" s="9">
        <v>4387.0875700000006</v>
      </c>
      <c r="M41" s="9" t="s">
        <v>146</v>
      </c>
      <c r="N41" s="9">
        <v>466.49984999999998</v>
      </c>
      <c r="O41" s="9">
        <f t="shared" si="1"/>
        <v>4853.5874200000007</v>
      </c>
    </row>
    <row r="42" spans="1:15" x14ac:dyDescent="0.25">
      <c r="A42" s="36">
        <v>36</v>
      </c>
      <c r="B42" s="36" t="s">
        <v>49</v>
      </c>
      <c r="C42" s="9">
        <v>25.2</v>
      </c>
      <c r="D42" s="9">
        <v>29646.83</v>
      </c>
      <c r="E42" s="9">
        <v>42608.333333333328</v>
      </c>
      <c r="F42" s="9">
        <f t="shared" si="3"/>
        <v>1.4371969392118256</v>
      </c>
      <c r="G42" s="9">
        <v>7278.1859999999997</v>
      </c>
      <c r="H42" s="9" t="s">
        <v>146</v>
      </c>
      <c r="I42" s="9">
        <v>647.57308999999998</v>
      </c>
      <c r="J42" s="9">
        <f t="shared" si="6"/>
        <v>7925.7590899999996</v>
      </c>
      <c r="K42" s="9">
        <f>J42/'Форма 1'!R43</f>
        <v>0.62023446060421084</v>
      </c>
      <c r="L42" s="9">
        <v>2120.6199200000001</v>
      </c>
      <c r="M42" s="9" t="s">
        <v>146</v>
      </c>
      <c r="N42" s="9">
        <v>195.51676</v>
      </c>
      <c r="O42" s="9">
        <f t="shared" si="1"/>
        <v>2316.1366800000001</v>
      </c>
    </row>
    <row r="43" spans="1:15" ht="30" x14ac:dyDescent="0.25">
      <c r="A43" s="36">
        <v>37</v>
      </c>
      <c r="B43" s="36" t="s">
        <v>50</v>
      </c>
      <c r="C43" s="9">
        <v>84.7</v>
      </c>
      <c r="D43" s="9">
        <v>34453.360000000001</v>
      </c>
      <c r="E43" s="9">
        <v>66658.333333333343</v>
      </c>
      <c r="F43" s="9">
        <f t="shared" si="3"/>
        <v>1.9347411495811537</v>
      </c>
      <c r="G43" s="9">
        <v>28555.822239999998</v>
      </c>
      <c r="H43" s="9" t="s">
        <v>146</v>
      </c>
      <c r="I43" s="9">
        <v>2437.0840899999998</v>
      </c>
      <c r="J43" s="9">
        <f t="shared" si="6"/>
        <v>30992.906329999998</v>
      </c>
      <c r="K43" s="9">
        <f>J43/'Форма 1'!R44</f>
        <v>0.62481016906163966</v>
      </c>
      <c r="L43" s="9">
        <v>8438.3950800000002</v>
      </c>
      <c r="M43" s="9" t="s">
        <v>146</v>
      </c>
      <c r="N43" s="9">
        <v>736.00225</v>
      </c>
      <c r="O43" s="9">
        <f t="shared" si="1"/>
        <v>9174.3973299999998</v>
      </c>
    </row>
    <row r="44" spans="1:15" ht="30" x14ac:dyDescent="0.25">
      <c r="A44" s="36">
        <v>38</v>
      </c>
      <c r="B44" s="36" t="s">
        <v>51</v>
      </c>
      <c r="C44" s="9">
        <v>49.3</v>
      </c>
      <c r="D44" s="9">
        <v>27926.98</v>
      </c>
      <c r="E44" s="9">
        <v>55808.333333333328</v>
      </c>
      <c r="F44" s="9">
        <f t="shared" si="3"/>
        <v>1.9983662155139341</v>
      </c>
      <c r="G44" s="9">
        <v>14303.83186</v>
      </c>
      <c r="H44" s="9" t="s">
        <v>146</v>
      </c>
      <c r="I44" s="9">
        <v>879.12480000000005</v>
      </c>
      <c r="J44" s="9">
        <f t="shared" si="6"/>
        <v>15182.95666</v>
      </c>
      <c r="K44" s="9">
        <f>J44/'Форма 1'!R45</f>
        <v>0.56732149022072931</v>
      </c>
      <c r="L44" s="9">
        <v>4292.5112399999998</v>
      </c>
      <c r="M44" s="9" t="s">
        <v>146</v>
      </c>
      <c r="N44" s="9">
        <v>265.48515000000003</v>
      </c>
      <c r="O44" s="9">
        <f t="shared" si="1"/>
        <v>4557.9963900000002</v>
      </c>
    </row>
    <row r="45" spans="1:15" x14ac:dyDescent="0.25">
      <c r="A45" s="36">
        <v>39</v>
      </c>
      <c r="B45" s="36" t="s">
        <v>52</v>
      </c>
      <c r="C45" s="9">
        <v>54.8</v>
      </c>
      <c r="D45" s="9">
        <v>34355.839999999997</v>
      </c>
      <c r="E45" s="9">
        <v>66850.000000000015</v>
      </c>
      <c r="F45" s="9">
        <f t="shared" si="3"/>
        <v>1.9458118328645151</v>
      </c>
      <c r="G45" s="9">
        <v>18266.142090000001</v>
      </c>
      <c r="H45" s="9" t="s">
        <v>146</v>
      </c>
      <c r="I45" s="9">
        <v>1285.8173000000002</v>
      </c>
      <c r="J45" s="9">
        <f t="shared" si="6"/>
        <v>19551.95939</v>
      </c>
      <c r="K45" s="9">
        <f>J45/'Форма 1'!R46</f>
        <v>0.55846635024525548</v>
      </c>
      <c r="L45" s="9">
        <v>5477.6056100000005</v>
      </c>
      <c r="M45" s="9" t="s">
        <v>146</v>
      </c>
      <c r="N45" s="9">
        <v>388.26835</v>
      </c>
      <c r="O45" s="9">
        <f t="shared" si="1"/>
        <v>5865.8739600000008</v>
      </c>
    </row>
    <row r="46" spans="1:15" ht="30" x14ac:dyDescent="0.25">
      <c r="A46" s="36">
        <v>40</v>
      </c>
      <c r="B46" s="36" t="s">
        <v>53</v>
      </c>
      <c r="C46" s="9">
        <v>37.1</v>
      </c>
      <c r="D46" s="9">
        <v>34838.269999999997</v>
      </c>
      <c r="E46" s="9">
        <v>52316.666666666664</v>
      </c>
      <c r="F46" s="9">
        <f t="shared" si="3"/>
        <v>1.5017010507888786</v>
      </c>
      <c r="G46" s="9">
        <v>11949.235000000001</v>
      </c>
      <c r="H46" s="9" t="s">
        <v>146</v>
      </c>
      <c r="I46" s="9">
        <v>823.76416000000006</v>
      </c>
      <c r="J46" s="9">
        <f t="shared" si="6"/>
        <v>12772.999160000001</v>
      </c>
      <c r="K46" s="9">
        <f>J46/'Форма 1'!R47</f>
        <v>0.61970239852139442</v>
      </c>
      <c r="L46" s="9">
        <v>3598.7034399999998</v>
      </c>
      <c r="M46" s="9" t="s">
        <v>146</v>
      </c>
      <c r="N46" s="9">
        <v>248.81945999999999</v>
      </c>
      <c r="O46" s="9">
        <f t="shared" si="1"/>
        <v>3847.5228999999999</v>
      </c>
    </row>
    <row r="47" spans="1:15" x14ac:dyDescent="0.25">
      <c r="A47" s="36">
        <v>41</v>
      </c>
      <c r="B47" s="36" t="s">
        <v>54</v>
      </c>
      <c r="C47" s="9">
        <v>40.299999999999997</v>
      </c>
      <c r="D47" s="9">
        <v>17067</v>
      </c>
      <c r="E47" s="9">
        <v>17383.333333333328</v>
      </c>
      <c r="F47" s="9">
        <f t="shared" si="3"/>
        <v>1.0185347942422998</v>
      </c>
      <c r="G47" s="9">
        <v>7280.0712300000005</v>
      </c>
      <c r="H47" s="9" t="s">
        <v>146</v>
      </c>
      <c r="I47" s="9">
        <v>641.02680000000009</v>
      </c>
      <c r="J47" s="9">
        <f t="shared" si="6"/>
        <v>7921.098030000001</v>
      </c>
      <c r="K47" s="9">
        <f>J47/'Форма 1'!R48</f>
        <v>0.5289326064095683</v>
      </c>
      <c r="L47" s="9">
        <v>2193.4756899999998</v>
      </c>
      <c r="M47" s="9" t="s">
        <v>146</v>
      </c>
      <c r="N47" s="9">
        <v>193.95410000000001</v>
      </c>
      <c r="O47" s="9">
        <f t="shared" si="1"/>
        <v>2387.4297899999997</v>
      </c>
    </row>
    <row r="48" spans="1:15" x14ac:dyDescent="0.25">
      <c r="A48" s="36">
        <v>42</v>
      </c>
      <c r="B48" s="36" t="s">
        <v>55</v>
      </c>
      <c r="C48" s="9">
        <v>43.7</v>
      </c>
      <c r="D48" s="9">
        <v>23161</v>
      </c>
      <c r="E48" s="9">
        <v>34541.666666666664</v>
      </c>
      <c r="F48" s="9">
        <f t="shared" si="3"/>
        <v>1.4913719902710014</v>
      </c>
      <c r="G48" s="9">
        <v>9041.630720000001</v>
      </c>
      <c r="H48" s="9" t="s">
        <v>146</v>
      </c>
      <c r="I48" s="9">
        <v>700.53459999999995</v>
      </c>
      <c r="J48" s="9">
        <f t="shared" si="6"/>
        <v>9742.1653200000001</v>
      </c>
      <c r="K48" s="9">
        <f>J48/'Форма 1'!R49</f>
        <v>0.50362662632304334</v>
      </c>
      <c r="L48" s="9">
        <v>2716.6782000000003</v>
      </c>
      <c r="M48" s="9" t="s">
        <v>146</v>
      </c>
      <c r="N48" s="9">
        <v>211.68170000000001</v>
      </c>
      <c r="O48" s="9">
        <f t="shared" si="1"/>
        <v>2928.3599000000004</v>
      </c>
    </row>
    <row r="49" spans="1:15" ht="30" x14ac:dyDescent="0.25">
      <c r="A49" s="36">
        <v>43</v>
      </c>
      <c r="B49" s="36" t="s">
        <v>56</v>
      </c>
      <c r="C49" s="9">
        <v>34.6</v>
      </c>
      <c r="D49" s="9">
        <v>20682.080000000002</v>
      </c>
      <c r="E49" s="9">
        <v>16391.666666666664</v>
      </c>
      <c r="F49" s="9">
        <f t="shared" si="3"/>
        <v>0.79255406935214745</v>
      </c>
      <c r="G49" s="9">
        <v>6581.2662900000005</v>
      </c>
      <c r="H49" s="9" t="s">
        <v>146</v>
      </c>
      <c r="I49" s="9">
        <v>805.25897999999995</v>
      </c>
      <c r="J49" s="9">
        <f t="shared" si="6"/>
        <v>7386.5252700000001</v>
      </c>
      <c r="K49" s="9">
        <f>J49/'Форма 1'!R50</f>
        <v>0.35733300802635787</v>
      </c>
      <c r="L49" s="9">
        <v>1982.93073</v>
      </c>
      <c r="M49" s="9" t="s">
        <v>146</v>
      </c>
      <c r="N49" s="9">
        <v>243.22317999999999</v>
      </c>
      <c r="O49" s="9">
        <f t="shared" si="1"/>
        <v>2226.15391</v>
      </c>
    </row>
    <row r="50" spans="1:15" x14ac:dyDescent="0.25">
      <c r="A50" s="36">
        <v>44</v>
      </c>
      <c r="B50" s="36" t="s">
        <v>57</v>
      </c>
      <c r="C50" s="9">
        <v>28.3</v>
      </c>
      <c r="D50" s="9">
        <v>37805.65</v>
      </c>
      <c r="E50" s="9">
        <v>17891.666666666664</v>
      </c>
      <c r="F50" s="9">
        <f t="shared" si="3"/>
        <v>0.47325377732340707</v>
      </c>
      <c r="G50" s="9">
        <v>8335.4030700000003</v>
      </c>
      <c r="H50" s="9" t="s">
        <v>146</v>
      </c>
      <c r="I50" s="9">
        <v>604.21019999999999</v>
      </c>
      <c r="J50" s="9">
        <f t="shared" si="6"/>
        <v>8939.6132699999998</v>
      </c>
      <c r="K50" s="9">
        <f>J50/'Форма 1'!R51</f>
        <v>0.5616489527625188</v>
      </c>
      <c r="L50" s="9">
        <v>2507.9557999999997</v>
      </c>
      <c r="M50" s="9" t="s">
        <v>146</v>
      </c>
      <c r="N50" s="9">
        <v>182.48689999999999</v>
      </c>
      <c r="O50" s="9">
        <f t="shared" si="1"/>
        <v>2690.4426999999996</v>
      </c>
    </row>
    <row r="51" spans="1:15" ht="30" x14ac:dyDescent="0.25">
      <c r="A51" s="36">
        <v>45</v>
      </c>
      <c r="B51" s="36" t="s">
        <v>58</v>
      </c>
      <c r="C51" s="9">
        <v>29.2</v>
      </c>
      <c r="D51" s="9">
        <v>29722.6</v>
      </c>
      <c r="E51" s="9">
        <v>44716.666666666664</v>
      </c>
      <c r="F51" s="9">
        <f t="shared" si="3"/>
        <v>1.5044668591128187</v>
      </c>
      <c r="G51" s="9">
        <v>8828.9660000000003</v>
      </c>
      <c r="H51" s="9" t="s">
        <v>146</v>
      </c>
      <c r="I51" s="9">
        <v>839.04230000000007</v>
      </c>
      <c r="J51" s="9">
        <f>SUM(G51:I51)</f>
        <v>9668.0083000000013</v>
      </c>
      <c r="K51" s="9">
        <f>J51/'Форма 1'!R52</f>
        <v>0.60090184300439731</v>
      </c>
      <c r="L51" s="9">
        <v>2665.0067599999998</v>
      </c>
      <c r="M51" s="9" t="s">
        <v>146</v>
      </c>
      <c r="N51" s="9">
        <v>253.37920000000003</v>
      </c>
      <c r="O51" s="9">
        <f t="shared" si="1"/>
        <v>2918.3859599999996</v>
      </c>
    </row>
    <row r="52" spans="1:15" x14ac:dyDescent="0.25">
      <c r="A52" s="36">
        <v>46</v>
      </c>
      <c r="B52" s="36" t="s">
        <v>59</v>
      </c>
      <c r="C52" s="9">
        <v>26.8</v>
      </c>
      <c r="D52" s="9">
        <v>30697.759999999998</v>
      </c>
      <c r="E52" s="9">
        <v>33050</v>
      </c>
      <c r="F52" s="9">
        <f t="shared" si="3"/>
        <v>1.0766257863765956</v>
      </c>
      <c r="G52" s="9">
        <v>6184.4423200000001</v>
      </c>
      <c r="H52" s="9" t="s">
        <v>146</v>
      </c>
      <c r="I52" s="9">
        <v>627.31009999999992</v>
      </c>
      <c r="J52" s="9">
        <f>SUM(G52:I52)</f>
        <v>6811.7524199999998</v>
      </c>
      <c r="K52" s="9">
        <f>J52/'Форма 1'!R53</f>
        <v>0.53233107607479813</v>
      </c>
      <c r="L52" s="9">
        <v>1863.8630500000002</v>
      </c>
      <c r="M52" s="9" t="s">
        <v>146</v>
      </c>
      <c r="N52" s="9">
        <v>189.38749999999999</v>
      </c>
      <c r="O52" s="9">
        <f>SUM(L52:N52)</f>
        <v>2053.2505500000002</v>
      </c>
    </row>
    <row r="53" spans="1:15" ht="30" x14ac:dyDescent="0.25">
      <c r="A53" s="36">
        <v>47</v>
      </c>
      <c r="B53" s="36" t="s">
        <v>60</v>
      </c>
      <c r="C53" s="9">
        <v>30.3</v>
      </c>
      <c r="D53" s="9">
        <v>34910.89</v>
      </c>
      <c r="E53" s="9">
        <v>50724.999999999993</v>
      </c>
      <c r="F53" s="9">
        <f t="shared" si="3"/>
        <v>1.4529850141316933</v>
      </c>
      <c r="G53" s="9">
        <v>8598.2337899999984</v>
      </c>
      <c r="H53" s="9" t="s">
        <v>146</v>
      </c>
      <c r="I53" s="9">
        <v>916.31659999999999</v>
      </c>
      <c r="J53" s="9">
        <f>SUM(G53:I53)</f>
        <v>9514.5503899999985</v>
      </c>
      <c r="K53" s="9">
        <f>J53/'Форма 1'!R54</f>
        <v>0.61166148610228488</v>
      </c>
      <c r="L53" s="9">
        <v>2590.1656200000002</v>
      </c>
      <c r="M53" s="9" t="s">
        <v>146</v>
      </c>
      <c r="N53" s="9">
        <v>276.80490000000003</v>
      </c>
      <c r="O53" s="9">
        <f t="shared" si="1"/>
        <v>2866.9705200000003</v>
      </c>
    </row>
    <row r="54" spans="1:15" ht="30" x14ac:dyDescent="0.25">
      <c r="A54" s="36">
        <v>48</v>
      </c>
      <c r="B54" s="36" t="s">
        <v>61</v>
      </c>
      <c r="C54" s="9">
        <v>15.2</v>
      </c>
      <c r="D54" s="9">
        <v>35565.79</v>
      </c>
      <c r="E54" s="9">
        <v>30358.333333333336</v>
      </c>
      <c r="F54" s="9">
        <f t="shared" si="3"/>
        <v>0.8535824266333838</v>
      </c>
      <c r="G54" s="9">
        <v>4259.5721199999998</v>
      </c>
      <c r="H54" s="9" t="s">
        <v>146</v>
      </c>
      <c r="I54" s="9">
        <v>507.31009999999998</v>
      </c>
      <c r="J54" s="9">
        <f>SUM(G54:I54)</f>
        <v>4766.8822199999995</v>
      </c>
      <c r="K54" s="9">
        <f>J54/'Форма 1'!R55</f>
        <v>0.55814648356129304</v>
      </c>
      <c r="L54" s="9">
        <v>1283.4349299999999</v>
      </c>
      <c r="M54" s="9" t="s">
        <v>146</v>
      </c>
      <c r="N54" s="9">
        <v>153.14479999999998</v>
      </c>
      <c r="O54" s="9">
        <f t="shared" si="1"/>
        <v>1436.5797299999999</v>
      </c>
    </row>
    <row r="55" spans="1:15" ht="30" x14ac:dyDescent="0.25">
      <c r="A55" s="36">
        <v>49</v>
      </c>
      <c r="B55" s="36" t="s">
        <v>62</v>
      </c>
      <c r="C55" s="9">
        <v>33.299999999999997</v>
      </c>
      <c r="D55" s="9">
        <v>19033.03</v>
      </c>
      <c r="E55" s="9">
        <v>18441.666666666668</v>
      </c>
      <c r="F55" s="9">
        <f t="shared" si="3"/>
        <v>0.96892962742488553</v>
      </c>
      <c r="G55" s="9">
        <v>6490</v>
      </c>
      <c r="H55" s="9" t="s">
        <v>146</v>
      </c>
      <c r="I55" s="9">
        <v>531.66069999999991</v>
      </c>
      <c r="J55" s="9">
        <f>SUM(G55:I55)</f>
        <v>7021.6607000000004</v>
      </c>
      <c r="K55" s="9">
        <f>J55/'Форма 1'!R56</f>
        <v>0.56695832949630198</v>
      </c>
      <c r="L55" s="9">
        <v>1969.2232099999999</v>
      </c>
      <c r="M55" s="9" t="s">
        <v>146</v>
      </c>
      <c r="N55" s="9">
        <v>160.5633</v>
      </c>
      <c r="O55" s="9">
        <f t="shared" si="1"/>
        <v>2129.7865099999999</v>
      </c>
    </row>
    <row r="56" spans="1:15" x14ac:dyDescent="0.25">
      <c r="A56" s="36">
        <v>50</v>
      </c>
      <c r="B56" s="36" t="s">
        <v>63</v>
      </c>
      <c r="C56" s="9">
        <v>39.1</v>
      </c>
      <c r="D56" s="9">
        <v>22329.919999999998</v>
      </c>
      <c r="E56" s="9">
        <v>42200</v>
      </c>
      <c r="F56" s="9">
        <f t="shared" si="3"/>
        <v>1.8898410742179104</v>
      </c>
      <c r="G56" s="9">
        <v>9743.1897399999998</v>
      </c>
      <c r="H56" s="9" t="s">
        <v>146</v>
      </c>
      <c r="I56" s="9">
        <v>713.5172</v>
      </c>
      <c r="J56" s="9">
        <f t="shared" ref="J56:J67" si="7">SUM(G56:I56)</f>
        <v>10456.70694</v>
      </c>
      <c r="K56" s="9">
        <f>J56/'Форма 1'!R57</f>
        <v>0.59524855891604711</v>
      </c>
      <c r="L56" s="9">
        <v>2934.2369700000004</v>
      </c>
      <c r="M56" s="9" t="s">
        <v>146</v>
      </c>
      <c r="N56" s="9">
        <v>215.48364999999998</v>
      </c>
      <c r="O56" s="9">
        <f>SUM(L56:N56)</f>
        <v>3149.7206200000005</v>
      </c>
    </row>
    <row r="57" spans="1:15" x14ac:dyDescent="0.25">
      <c r="A57" s="36">
        <v>51</v>
      </c>
      <c r="B57" s="36" t="s">
        <v>64</v>
      </c>
      <c r="C57" s="9">
        <v>26.6</v>
      </c>
      <c r="D57" s="9">
        <v>28169.17</v>
      </c>
      <c r="E57" s="9">
        <v>40874.999999999993</v>
      </c>
      <c r="F57" s="9">
        <f t="shared" si="3"/>
        <v>1.4510544684135172</v>
      </c>
      <c r="G57" s="9">
        <v>5866.7504000000008</v>
      </c>
      <c r="H57" s="9" t="s">
        <v>146</v>
      </c>
      <c r="I57" s="9">
        <v>524.92399999999998</v>
      </c>
      <c r="J57" s="9">
        <f t="shared" si="7"/>
        <v>6391.6744000000008</v>
      </c>
      <c r="K57" s="9">
        <f>J57/'Форма 1'!R58</f>
        <v>0.57867617686238926</v>
      </c>
      <c r="L57" s="9">
        <v>1786.3826200000001</v>
      </c>
      <c r="M57" s="9" t="s">
        <v>146</v>
      </c>
      <c r="N57" s="9">
        <v>158.46632</v>
      </c>
      <c r="O57" s="9">
        <f t="shared" si="1"/>
        <v>1944.8489400000001</v>
      </c>
    </row>
    <row r="58" spans="1:15" ht="30" x14ac:dyDescent="0.25">
      <c r="A58" s="36">
        <v>52</v>
      </c>
      <c r="B58" s="36" t="s">
        <v>65</v>
      </c>
      <c r="C58" s="9">
        <v>32.6</v>
      </c>
      <c r="D58" s="9">
        <v>29570.55</v>
      </c>
      <c r="E58" s="9">
        <v>26583.333333333332</v>
      </c>
      <c r="F58" s="9">
        <f t="shared" si="3"/>
        <v>0.89898000995359684</v>
      </c>
      <c r="G58" s="9">
        <v>9460.49251</v>
      </c>
      <c r="H58" s="9" t="s">
        <v>146</v>
      </c>
      <c r="I58" s="9">
        <v>644.50728000000004</v>
      </c>
      <c r="J58" s="9">
        <f t="shared" si="7"/>
        <v>10104.99979</v>
      </c>
      <c r="K58" s="9">
        <f>J58/'Форма 1'!R59</f>
        <v>0.65688375445509228</v>
      </c>
      <c r="L58" s="9">
        <v>2802.3748300000002</v>
      </c>
      <c r="M58" s="9" t="s">
        <v>146</v>
      </c>
      <c r="N58" s="9">
        <v>194.63898</v>
      </c>
      <c r="O58" s="9">
        <f t="shared" si="1"/>
        <v>2997.0138100000004</v>
      </c>
    </row>
    <row r="59" spans="1:15" x14ac:dyDescent="0.25">
      <c r="A59" s="36">
        <v>53</v>
      </c>
      <c r="B59" s="36" t="s">
        <v>66</v>
      </c>
      <c r="C59" s="9">
        <v>34</v>
      </c>
      <c r="D59" s="9">
        <v>29068.97</v>
      </c>
      <c r="E59" s="9">
        <v>38875</v>
      </c>
      <c r="F59" s="9">
        <f t="shared" si="3"/>
        <v>1.3373366858199653</v>
      </c>
      <c r="G59" s="9">
        <v>9924.3332799999989</v>
      </c>
      <c r="H59" s="9" t="s">
        <v>146</v>
      </c>
      <c r="I59" s="9">
        <v>762.47860000000003</v>
      </c>
      <c r="J59" s="9">
        <f t="shared" si="7"/>
        <v>10686.811879999999</v>
      </c>
      <c r="K59" s="9">
        <f>J59/'Форма 1'!R60</f>
        <v>0.59213585088862508</v>
      </c>
      <c r="L59" s="9">
        <v>2968.4187000000002</v>
      </c>
      <c r="M59" s="9" t="s">
        <v>146</v>
      </c>
      <c r="N59" s="9">
        <v>230.26945000000001</v>
      </c>
      <c r="O59" s="9">
        <f t="shared" si="1"/>
        <v>3198.68815</v>
      </c>
    </row>
    <row r="60" spans="1:15" ht="30" x14ac:dyDescent="0.25">
      <c r="A60" s="36">
        <v>54</v>
      </c>
      <c r="B60" s="36" t="s">
        <v>67</v>
      </c>
      <c r="C60" s="9">
        <v>37</v>
      </c>
      <c r="D60" s="9">
        <v>28583.78</v>
      </c>
      <c r="E60" s="9">
        <v>27933.333333333332</v>
      </c>
      <c r="F60" s="9">
        <f t="shared" si="3"/>
        <v>0.97724420399727863</v>
      </c>
      <c r="G60" s="9">
        <v>8390.3250000000007</v>
      </c>
      <c r="H60" s="9" t="s">
        <v>146</v>
      </c>
      <c r="I60" s="9">
        <v>663.17061999999999</v>
      </c>
      <c r="J60" s="9">
        <f t="shared" si="7"/>
        <v>9053.4956200000015</v>
      </c>
      <c r="K60" s="9">
        <f>J60/'Форма 1'!R61</f>
        <v>0.53940757007422657</v>
      </c>
      <c r="L60" s="9">
        <v>2520.75594</v>
      </c>
      <c r="M60" s="9" t="s">
        <v>146</v>
      </c>
      <c r="N60" s="9">
        <v>200.26382000000001</v>
      </c>
      <c r="O60" s="9">
        <f t="shared" si="1"/>
        <v>2721.0197600000001</v>
      </c>
    </row>
    <row r="61" spans="1:15" ht="30" x14ac:dyDescent="0.25">
      <c r="A61" s="36">
        <v>55</v>
      </c>
      <c r="B61" s="36" t="s">
        <v>68</v>
      </c>
      <c r="C61" s="9">
        <v>38.200000000000003</v>
      </c>
      <c r="D61" s="9">
        <v>27133.51</v>
      </c>
      <c r="E61" s="9">
        <v>44616.666666666664</v>
      </c>
      <c r="F61" s="9">
        <f t="shared" si="3"/>
        <v>1.6443381879700292</v>
      </c>
      <c r="G61" s="9">
        <v>10038.8822</v>
      </c>
      <c r="H61" s="9" t="s">
        <v>146</v>
      </c>
      <c r="I61" s="9">
        <v>679.87430000000006</v>
      </c>
      <c r="J61" s="9">
        <f t="shared" si="7"/>
        <v>10718.7565</v>
      </c>
      <c r="K61" s="9">
        <f>J61/'Форма 1'!R62</f>
        <v>0.56320015506614951</v>
      </c>
      <c r="L61" s="9">
        <v>3012.9112700000001</v>
      </c>
      <c r="M61" s="9" t="s">
        <v>146</v>
      </c>
      <c r="N61" s="9">
        <v>205.32445000000001</v>
      </c>
      <c r="O61" s="9">
        <f t="shared" si="1"/>
        <v>3218.2357200000001</v>
      </c>
    </row>
    <row r="62" spans="1:15" x14ac:dyDescent="0.25">
      <c r="A62" s="36">
        <v>56</v>
      </c>
      <c r="B62" s="36" t="s">
        <v>69</v>
      </c>
      <c r="C62" s="9">
        <v>10.1</v>
      </c>
      <c r="D62" s="9">
        <v>46712.87</v>
      </c>
      <c r="E62" s="9">
        <v>28383.333333333328</v>
      </c>
      <c r="F62" s="9">
        <f t="shared" si="3"/>
        <v>0.60761270573470072</v>
      </c>
      <c r="G62" s="9">
        <v>4179.9213099999997</v>
      </c>
      <c r="H62" s="9" t="s">
        <v>146</v>
      </c>
      <c r="I62" s="9">
        <v>419.86279999999999</v>
      </c>
      <c r="J62" s="9">
        <f t="shared" si="7"/>
        <v>4599.7841099999996</v>
      </c>
      <c r="K62" s="9">
        <f>J62/'Форма 1'!R63</f>
        <v>0.6102135187433676</v>
      </c>
      <c r="L62" s="9">
        <v>1276.1751899999999</v>
      </c>
      <c r="M62" s="9" t="s">
        <v>146</v>
      </c>
      <c r="N62" s="9">
        <v>126.7921</v>
      </c>
      <c r="O62" s="9">
        <f t="shared" si="1"/>
        <v>1402.96729</v>
      </c>
    </row>
    <row r="63" spans="1:15" ht="30" x14ac:dyDescent="0.25">
      <c r="A63" s="36">
        <v>57</v>
      </c>
      <c r="B63" s="36" t="s">
        <v>70</v>
      </c>
      <c r="C63" s="9">
        <v>21.8</v>
      </c>
      <c r="D63" s="9">
        <v>24013.759999999998</v>
      </c>
      <c r="E63" s="9">
        <v>19766.666666666668</v>
      </c>
      <c r="F63" s="9">
        <f t="shared" si="3"/>
        <v>0.82313917798240133</v>
      </c>
      <c r="G63" s="9">
        <v>4831.2641800000001</v>
      </c>
      <c r="H63" s="9" t="s">
        <v>146</v>
      </c>
      <c r="I63" s="9">
        <v>473.51895999999999</v>
      </c>
      <c r="J63" s="9">
        <f t="shared" si="7"/>
        <v>5304.7831400000005</v>
      </c>
      <c r="K63" s="9">
        <f>J63/'Форма 1'!R64</f>
        <v>0.56269182748355562</v>
      </c>
      <c r="L63" s="9">
        <v>1458.0427999999999</v>
      </c>
      <c r="M63" s="9" t="s">
        <v>146</v>
      </c>
      <c r="N63" s="9">
        <v>143.01856000000001</v>
      </c>
      <c r="O63" s="9">
        <f t="shared" si="1"/>
        <v>1601.0613599999999</v>
      </c>
    </row>
    <row r="64" spans="1:15" x14ac:dyDescent="0.25">
      <c r="A64" s="36">
        <v>58</v>
      </c>
      <c r="B64" s="36" t="s">
        <v>71</v>
      </c>
      <c r="C64" s="9">
        <v>12.6</v>
      </c>
      <c r="D64" s="9">
        <v>25849.21</v>
      </c>
      <c r="E64" s="9">
        <v>18850</v>
      </c>
      <c r="F64" s="9">
        <f t="shared" si="3"/>
        <v>0.72922924917241183</v>
      </c>
      <c r="G64" s="9">
        <v>1605.81951</v>
      </c>
      <c r="H64" s="9" t="s">
        <v>146</v>
      </c>
      <c r="I64" s="9">
        <v>943.9</v>
      </c>
      <c r="J64" s="9">
        <f t="shared" si="7"/>
        <v>2549.7195099999999</v>
      </c>
      <c r="K64" s="9">
        <f>J64/'Форма 1'!R65</f>
        <v>0.67335327470554052</v>
      </c>
      <c r="L64" s="9">
        <v>482.14062000000001</v>
      </c>
      <c r="M64" s="9" t="s">
        <v>146</v>
      </c>
      <c r="N64" s="9">
        <v>285.39999999999998</v>
      </c>
      <c r="O64" s="9">
        <f t="shared" si="1"/>
        <v>767.54061999999999</v>
      </c>
    </row>
    <row r="65" spans="1:18" x14ac:dyDescent="0.25">
      <c r="A65" s="36">
        <v>59</v>
      </c>
      <c r="B65" s="36" t="s">
        <v>72</v>
      </c>
      <c r="C65" s="9">
        <v>15.8</v>
      </c>
      <c r="D65" s="9">
        <v>21962.03</v>
      </c>
      <c r="E65" s="9">
        <v>28650.000000000004</v>
      </c>
      <c r="F65" s="9">
        <f t="shared" si="3"/>
        <v>1.3045242174789855</v>
      </c>
      <c r="G65" s="9">
        <v>2187.4805499999998</v>
      </c>
      <c r="H65" s="9" t="s">
        <v>146</v>
      </c>
      <c r="I65" s="9">
        <v>1396.2503400000001</v>
      </c>
      <c r="J65" s="9">
        <f t="shared" si="7"/>
        <v>3583.7308899999998</v>
      </c>
      <c r="K65" s="9">
        <f>J65/'Форма 1'!R66</f>
        <v>0.75744727399111189</v>
      </c>
      <c r="L65" s="9">
        <v>657.6893</v>
      </c>
      <c r="M65" s="9" t="s">
        <v>146</v>
      </c>
      <c r="N65" s="9">
        <v>421.67685999999998</v>
      </c>
      <c r="O65" s="9">
        <f t="shared" si="1"/>
        <v>1079.36616</v>
      </c>
    </row>
    <row r="66" spans="1:18" x14ac:dyDescent="0.25">
      <c r="A66" s="36">
        <v>60</v>
      </c>
      <c r="B66" s="36" t="s">
        <v>73</v>
      </c>
      <c r="C66" s="9">
        <v>22.7</v>
      </c>
      <c r="D66" s="9">
        <v>17163</v>
      </c>
      <c r="E66" s="9">
        <v>36566.666666666672</v>
      </c>
      <c r="F66" s="9">
        <f t="shared" si="3"/>
        <v>2.1305521567713495</v>
      </c>
      <c r="G66" s="9">
        <v>2499</v>
      </c>
      <c r="H66" s="9" t="s">
        <v>146</v>
      </c>
      <c r="I66" s="9">
        <v>1354.348</v>
      </c>
      <c r="J66" s="9">
        <f t="shared" si="7"/>
        <v>3853.348</v>
      </c>
      <c r="K66" s="9">
        <f>J66/'Форма 1'!R67</f>
        <v>0.74048631163737211</v>
      </c>
      <c r="L66" s="9">
        <v>749.86322999999993</v>
      </c>
      <c r="M66" s="9" t="s">
        <v>146</v>
      </c>
      <c r="N66" s="9">
        <v>409.25920000000002</v>
      </c>
      <c r="O66" s="9">
        <f t="shared" si="1"/>
        <v>1159.1224299999999</v>
      </c>
    </row>
    <row r="67" spans="1:18" x14ac:dyDescent="0.25">
      <c r="A67" s="36">
        <v>61</v>
      </c>
      <c r="B67" s="36" t="s">
        <v>74</v>
      </c>
      <c r="C67" s="9">
        <v>12.5</v>
      </c>
      <c r="D67" s="9">
        <v>15104</v>
      </c>
      <c r="E67" s="9">
        <v>32866.666666666664</v>
      </c>
      <c r="F67" s="9">
        <f t="shared" si="3"/>
        <v>2.1760240112994347</v>
      </c>
      <c r="G67" s="9">
        <v>1566</v>
      </c>
      <c r="H67" s="9" t="s">
        <v>146</v>
      </c>
      <c r="I67" s="9">
        <v>353.63099999999997</v>
      </c>
      <c r="J67" s="9">
        <f t="shared" si="7"/>
        <v>1919.6309999999999</v>
      </c>
      <c r="K67" s="9">
        <f>J67/'Форма 1'!R68</f>
        <v>0.70833419432161016</v>
      </c>
      <c r="L67" s="9">
        <v>471.80086999999997</v>
      </c>
      <c r="M67" s="9" t="s">
        <v>146</v>
      </c>
      <c r="N67" s="9">
        <v>106.753</v>
      </c>
      <c r="O67" s="9">
        <f t="shared" si="1"/>
        <v>578.55386999999996</v>
      </c>
    </row>
    <row r="68" spans="1:18" x14ac:dyDescent="0.25">
      <c r="A68" s="36">
        <v>62</v>
      </c>
      <c r="B68" s="36" t="s">
        <v>75</v>
      </c>
      <c r="C68" s="9">
        <v>20.7</v>
      </c>
      <c r="D68" s="9">
        <v>19632.849999999999</v>
      </c>
      <c r="E68" s="9">
        <v>30658.333333333332</v>
      </c>
      <c r="F68" s="9">
        <f t="shared" si="3"/>
        <v>1.5615834345667254</v>
      </c>
      <c r="G68" s="9">
        <v>2357</v>
      </c>
      <c r="H68" s="9" t="s">
        <v>146</v>
      </c>
      <c r="I68" s="9">
        <v>1115.7080000000001</v>
      </c>
      <c r="J68" s="9">
        <f>SUM(G68:I68)</f>
        <v>3472.7080000000001</v>
      </c>
      <c r="K68" s="9">
        <f>J68/'Форма 1'!R69</f>
        <v>0.74333404683419668</v>
      </c>
      <c r="L68" s="9">
        <v>711.76765999999998</v>
      </c>
      <c r="M68" s="9" t="s">
        <v>146</v>
      </c>
      <c r="N68" s="9">
        <v>336.99020000000002</v>
      </c>
      <c r="O68" s="9">
        <f t="shared" si="1"/>
        <v>1048.7578599999999</v>
      </c>
    </row>
    <row r="69" spans="1:18" ht="30" x14ac:dyDescent="0.25">
      <c r="A69" s="36">
        <v>63</v>
      </c>
      <c r="B69" s="36" t="s">
        <v>76</v>
      </c>
      <c r="C69" s="9">
        <v>5.3</v>
      </c>
      <c r="D69" s="9">
        <v>27377.360000000001</v>
      </c>
      <c r="E69" s="9">
        <v>29625</v>
      </c>
      <c r="F69" s="9">
        <f t="shared" si="3"/>
        <v>1.0820984930614201</v>
      </c>
      <c r="G69" s="9">
        <v>838.60631999999998</v>
      </c>
      <c r="H69" s="9" t="s">
        <v>146</v>
      </c>
      <c r="I69" s="9">
        <v>325.89999999999998</v>
      </c>
      <c r="J69" s="9">
        <f>SUM(G69:I69)</f>
        <v>1164.50632</v>
      </c>
      <c r="K69" s="9">
        <f>J69/'Форма 1'!R70</f>
        <v>0.73382463923372609</v>
      </c>
      <c r="L69" s="9">
        <v>252.78016</v>
      </c>
      <c r="M69" s="9" t="s">
        <v>146</v>
      </c>
      <c r="N69" s="9">
        <v>98.8</v>
      </c>
      <c r="O69" s="9">
        <f>SUM(L69:N69)</f>
        <v>351.58015999999998</v>
      </c>
    </row>
    <row r="70" spans="1:18" x14ac:dyDescent="0.25">
      <c r="A70" s="36">
        <v>64</v>
      </c>
      <c r="B70" s="36" t="s">
        <v>77</v>
      </c>
      <c r="C70" s="9">
        <v>18.2</v>
      </c>
      <c r="D70" s="9">
        <v>21835.16</v>
      </c>
      <c r="E70" s="9">
        <v>33383.333333333336</v>
      </c>
      <c r="F70" s="9">
        <f t="shared" si="3"/>
        <v>1.5288797212080578</v>
      </c>
      <c r="G70" s="9">
        <v>2260.1337400000002</v>
      </c>
      <c r="H70" s="9" t="s">
        <v>146</v>
      </c>
      <c r="I70" s="9">
        <v>2104.4097999999999</v>
      </c>
      <c r="J70" s="9">
        <f>SUM(G70:I70)</f>
        <v>4364.5435400000006</v>
      </c>
      <c r="K70" s="9">
        <f>J70/'Форма 1'!R71</f>
        <v>0.45729395520367128</v>
      </c>
      <c r="L70" s="9">
        <v>681.04959999999994</v>
      </c>
      <c r="M70" s="9" t="s">
        <v>146</v>
      </c>
      <c r="N70" s="9">
        <v>635.83444999999995</v>
      </c>
      <c r="O70" s="9">
        <f>SUM(L70:N70)</f>
        <v>1316.8840499999999</v>
      </c>
    </row>
    <row r="71" spans="1:18" ht="30" x14ac:dyDescent="0.25">
      <c r="A71" s="36">
        <v>65</v>
      </c>
      <c r="B71" s="36" t="s">
        <v>78</v>
      </c>
      <c r="C71" s="9">
        <v>10.4</v>
      </c>
      <c r="D71" s="9">
        <v>20259.62</v>
      </c>
      <c r="E71" s="9">
        <v>34250.000000000007</v>
      </c>
      <c r="F71" s="9">
        <f t="shared" si="3"/>
        <v>1.6905549067554084</v>
      </c>
      <c r="G71" s="9">
        <v>1596.5350000000001</v>
      </c>
      <c r="H71" s="9" t="s">
        <v>146</v>
      </c>
      <c r="I71" s="9">
        <v>1130.028</v>
      </c>
      <c r="J71" s="9">
        <f>SUM(G71:I71)</f>
        <v>2726.5630000000001</v>
      </c>
      <c r="K71" s="9">
        <f>J71/'Форма 1'!R72</f>
        <v>0.77879344047424959</v>
      </c>
      <c r="L71" s="9">
        <v>480.20153000000005</v>
      </c>
      <c r="M71" s="9" t="s">
        <v>146</v>
      </c>
      <c r="N71" s="9">
        <v>341.28120000000001</v>
      </c>
      <c r="O71" s="9">
        <f>SUM(L71:N71)</f>
        <v>821.48273000000006</v>
      </c>
    </row>
    <row r="72" spans="1:18" x14ac:dyDescent="0.25">
      <c r="A72" s="36">
        <v>66</v>
      </c>
      <c r="B72" s="36" t="s">
        <v>79</v>
      </c>
      <c r="C72" s="9">
        <v>7.3</v>
      </c>
      <c r="D72" s="9">
        <v>18931.509999999998</v>
      </c>
      <c r="E72" s="9">
        <v>27049.999999999996</v>
      </c>
      <c r="F72" s="9">
        <f t="shared" si="3"/>
        <v>1.428834783913169</v>
      </c>
      <c r="G72" s="9">
        <v>1034.7258999999999</v>
      </c>
      <c r="H72" s="9" t="s">
        <v>146</v>
      </c>
      <c r="I72" s="9">
        <v>360.92700000000002</v>
      </c>
      <c r="J72" s="9">
        <f>SUM(G72:I72)</f>
        <v>1395.6529</v>
      </c>
      <c r="K72" s="9">
        <f>J72/'Форма 1'!R73</f>
        <v>0.77931036215674732</v>
      </c>
      <c r="L72" s="9">
        <v>312.53219000000001</v>
      </c>
      <c r="M72" s="9" t="s">
        <v>146</v>
      </c>
      <c r="N72" s="9">
        <v>108.955</v>
      </c>
      <c r="O72" s="9">
        <f>SUM(L72:N72)</f>
        <v>421.48719</v>
      </c>
    </row>
    <row r="73" spans="1:18" s="51" customFormat="1" ht="38.25" x14ac:dyDescent="0.25">
      <c r="A73" s="36">
        <v>67</v>
      </c>
      <c r="B73" s="32" t="s">
        <v>151</v>
      </c>
      <c r="C73" s="87">
        <v>9.5</v>
      </c>
      <c r="D73" s="87">
        <v>16398</v>
      </c>
      <c r="E73" s="88">
        <v>45733.3</v>
      </c>
      <c r="F73" s="9">
        <f t="shared" si="3"/>
        <v>2.7889559702402735</v>
      </c>
      <c r="G73" s="9">
        <v>1912.0722000000001</v>
      </c>
      <c r="H73" s="9" t="s">
        <v>146</v>
      </c>
      <c r="I73" s="9">
        <v>907.41193999999996</v>
      </c>
      <c r="J73" s="9">
        <v>2819.48414</v>
      </c>
      <c r="K73" s="9">
        <f>J73/'Форма 1'!R74</f>
        <v>0.56339427467304892</v>
      </c>
      <c r="L73" s="89">
        <v>594.38480000000004</v>
      </c>
      <c r="M73" s="9" t="s">
        <v>146</v>
      </c>
      <c r="N73" s="9">
        <v>261.54861</v>
      </c>
      <c r="O73" s="9">
        <f t="shared" ref="O73:O78" si="8">SUM(L73:N73)</f>
        <v>855.93341000000009</v>
      </c>
    </row>
    <row r="74" spans="1:18" ht="38.25" x14ac:dyDescent="0.25">
      <c r="A74" s="36">
        <v>68</v>
      </c>
      <c r="B74" s="32" t="s">
        <v>152</v>
      </c>
      <c r="C74" s="87">
        <v>8.3000000000000007</v>
      </c>
      <c r="D74" s="87">
        <v>16452</v>
      </c>
      <c r="E74" s="88">
        <v>45066.7</v>
      </c>
      <c r="F74" s="9">
        <f t="shared" si="3"/>
        <v>2.7392839776318985</v>
      </c>
      <c r="G74" s="90">
        <v>2420.0656100000001</v>
      </c>
      <c r="H74" s="90" t="s">
        <v>146</v>
      </c>
      <c r="I74" s="90">
        <v>481.49077</v>
      </c>
      <c r="J74" s="91">
        <v>2901.55638</v>
      </c>
      <c r="K74" s="9">
        <f>J74/'Форма 1'!R75</f>
        <v>0.69668098097566289</v>
      </c>
      <c r="L74" s="92">
        <v>730.06232999999997</v>
      </c>
      <c r="M74" s="91" t="s">
        <v>146</v>
      </c>
      <c r="N74" s="9">
        <v>145.44023000000001</v>
      </c>
      <c r="O74" s="9">
        <f t="shared" si="8"/>
        <v>875.50256000000002</v>
      </c>
    </row>
    <row r="75" spans="1:18" ht="38.25" x14ac:dyDescent="0.25">
      <c r="A75" s="36">
        <v>69</v>
      </c>
      <c r="B75" s="32" t="s">
        <v>153</v>
      </c>
      <c r="C75" s="87">
        <v>15.8</v>
      </c>
      <c r="D75" s="87">
        <v>15913</v>
      </c>
      <c r="E75" s="88">
        <v>31416.7</v>
      </c>
      <c r="F75" s="9">
        <f t="shared" si="3"/>
        <v>1.9742788914723812</v>
      </c>
      <c r="G75" s="87">
        <v>2754.20829</v>
      </c>
      <c r="H75" s="87" t="s">
        <v>146</v>
      </c>
      <c r="I75" s="87">
        <v>856.37369000000001</v>
      </c>
      <c r="J75" s="91">
        <v>3610.5819799999999</v>
      </c>
      <c r="K75" s="9">
        <f>J75/'Форма 1'!R76</f>
        <v>0.62688695743334544</v>
      </c>
      <c r="L75" s="89">
        <v>830.45844</v>
      </c>
      <c r="M75" s="9" t="s">
        <v>146</v>
      </c>
      <c r="N75" s="9">
        <v>258.62502000000001</v>
      </c>
      <c r="O75" s="9">
        <f t="shared" si="8"/>
        <v>1089.0834600000001</v>
      </c>
      <c r="R75" s="52"/>
    </row>
    <row r="76" spans="1:18" ht="38.25" x14ac:dyDescent="0.25">
      <c r="A76" s="36">
        <v>70</v>
      </c>
      <c r="B76" s="32" t="s">
        <v>154</v>
      </c>
      <c r="C76" s="87">
        <v>14.9</v>
      </c>
      <c r="D76" s="87">
        <v>20613.400000000001</v>
      </c>
      <c r="E76" s="88">
        <v>49933.3</v>
      </c>
      <c r="F76" s="9">
        <f t="shared" si="3"/>
        <v>2.4223708849583279</v>
      </c>
      <c r="G76" s="87">
        <v>3831.5706300000002</v>
      </c>
      <c r="H76" s="87">
        <v>38.5</v>
      </c>
      <c r="I76" s="87">
        <v>1124.21315</v>
      </c>
      <c r="J76" s="9">
        <v>4994.2837799999998</v>
      </c>
      <c r="K76" s="9">
        <f>J76/'Форма 1'!R77</f>
        <v>0.70643369986238391</v>
      </c>
      <c r="L76" s="89">
        <v>937.42310999999995</v>
      </c>
      <c r="M76" s="9">
        <v>11.627000000000001</v>
      </c>
      <c r="N76" s="9">
        <v>339.51961999999997</v>
      </c>
      <c r="O76" s="9">
        <f t="shared" si="8"/>
        <v>1288.5697299999999</v>
      </c>
    </row>
    <row r="77" spans="1:18" ht="38.25" x14ac:dyDescent="0.25">
      <c r="A77" s="36">
        <v>71</v>
      </c>
      <c r="B77" s="32" t="s">
        <v>155</v>
      </c>
      <c r="C77" s="87">
        <v>22.5</v>
      </c>
      <c r="D77" s="87">
        <v>18153</v>
      </c>
      <c r="E77" s="88">
        <v>36638.800000000003</v>
      </c>
      <c r="F77" s="9">
        <f>E77/D77</f>
        <v>2.0183330578967666</v>
      </c>
      <c r="G77" s="90">
        <v>4655.7404900000001</v>
      </c>
      <c r="H77" s="90" t="s">
        <v>146</v>
      </c>
      <c r="I77" s="90">
        <v>1158.97487</v>
      </c>
      <c r="J77" s="91">
        <v>5814.7153600000001</v>
      </c>
      <c r="K77" s="9">
        <f>J77/'Форма 1'!R78</f>
        <v>0.69042730490850268</v>
      </c>
      <c r="L77" s="89">
        <v>1402.93905</v>
      </c>
      <c r="M77" s="9" t="s">
        <v>146</v>
      </c>
      <c r="N77" s="9">
        <v>349.58274</v>
      </c>
      <c r="O77" s="9">
        <f t="shared" si="8"/>
        <v>1752.52179</v>
      </c>
    </row>
    <row r="78" spans="1:18" x14ac:dyDescent="0.25">
      <c r="A78" s="36">
        <v>72</v>
      </c>
      <c r="B78" s="36" t="s">
        <v>156</v>
      </c>
      <c r="C78" s="9">
        <v>9</v>
      </c>
      <c r="D78" s="9">
        <v>2932.93</v>
      </c>
      <c r="E78" s="9">
        <v>22142.53</v>
      </c>
      <c r="F78" s="9">
        <f>E78/D78</f>
        <v>7.5496278465561746</v>
      </c>
      <c r="G78" s="9">
        <v>723.24735999999996</v>
      </c>
      <c r="H78" s="9">
        <v>0</v>
      </c>
      <c r="I78" s="9">
        <v>0</v>
      </c>
      <c r="J78" s="9">
        <v>723.24735999999996</v>
      </c>
      <c r="K78" s="9">
        <f>J78/'Форма 1'!R79</f>
        <v>0.78188903783783781</v>
      </c>
      <c r="L78" s="9">
        <v>167.07273000000001</v>
      </c>
      <c r="M78" s="9">
        <v>0</v>
      </c>
      <c r="N78" s="9">
        <v>0</v>
      </c>
      <c r="O78" s="9">
        <f t="shared" si="8"/>
        <v>167.07273000000001</v>
      </c>
    </row>
    <row r="79" spans="1:18" x14ac:dyDescent="0.25">
      <c r="A79" s="6"/>
      <c r="B79" s="6" t="s">
        <v>131</v>
      </c>
      <c r="C79" s="93">
        <f>SUM(C7:C78)</f>
        <v>2138.4999999999995</v>
      </c>
      <c r="D79" s="93">
        <v>23414.57</v>
      </c>
      <c r="E79" s="93">
        <v>33829.949999999997</v>
      </c>
      <c r="F79" s="93">
        <f>E79/D79</f>
        <v>1.4448247394677758</v>
      </c>
      <c r="G79" s="93">
        <f>SUM(G7:G78)</f>
        <v>496555.57292999991</v>
      </c>
      <c r="H79" s="93">
        <f>SUM(H7:H78)</f>
        <v>407.64312000000001</v>
      </c>
      <c r="I79" s="93">
        <f>SUM(I7:I78)</f>
        <v>70735.740869999994</v>
      </c>
      <c r="J79" s="93">
        <f>SUM(J7:J78)</f>
        <v>567698.95692000003</v>
      </c>
      <c r="K79" s="94">
        <f>J79/'Форма 1'!R80</f>
        <v>0.46653792996085736</v>
      </c>
      <c r="L79" s="93">
        <f>SUM(L7:L78)</f>
        <v>147266.22836999994</v>
      </c>
      <c r="M79" s="93">
        <f>SUM(M7:M78)</f>
        <v>122.13046999999999</v>
      </c>
      <c r="N79" s="93">
        <f>SUM(N7:N78)</f>
        <v>20909.551550000004</v>
      </c>
      <c r="O79" s="93">
        <f>SUM(O7:O78)</f>
        <v>168297.91038999998</v>
      </c>
    </row>
  </sheetData>
  <mergeCells count="10">
    <mergeCell ref="D2:J2"/>
    <mergeCell ref="K5:K6"/>
    <mergeCell ref="L5:O5"/>
    <mergeCell ref="A5:A6"/>
    <mergeCell ref="B5:B6"/>
    <mergeCell ref="C5:C6"/>
    <mergeCell ref="D5:D6"/>
    <mergeCell ref="E5:E6"/>
    <mergeCell ref="F5:F6"/>
    <mergeCell ref="G5:J5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79"/>
  <sheetViews>
    <sheetView zoomScale="70" zoomScaleNormal="70" workbookViewId="0">
      <pane xSplit="1" ySplit="6" topLeftCell="B73" activePane="bottomRight" state="frozen"/>
      <selection pane="topRight" activeCell="B1" sqref="B1"/>
      <selection pane="bottomLeft" activeCell="A8" sqref="A8"/>
      <selection pane="bottomRight" activeCell="G82" sqref="G82"/>
    </sheetView>
  </sheetViews>
  <sheetFormatPr defaultColWidth="9.140625" defaultRowHeight="15" x14ac:dyDescent="0.25"/>
  <cols>
    <col min="1" max="1" width="5" style="8" bestFit="1" customWidth="1"/>
    <col min="2" max="2" width="41.85546875" style="8" customWidth="1"/>
    <col min="3" max="3" width="17.140625" style="8" customWidth="1"/>
    <col min="4" max="4" width="17.7109375" style="8" customWidth="1"/>
    <col min="5" max="5" width="11.7109375" style="8" customWidth="1"/>
    <col min="6" max="6" width="15.85546875" style="8" customWidth="1"/>
    <col min="7" max="7" width="17.42578125" style="8" bestFit="1" customWidth="1"/>
    <col min="8" max="8" width="11.7109375" style="8" customWidth="1"/>
    <col min="9" max="9" width="17.5703125" style="8" customWidth="1"/>
    <col min="10" max="10" width="16.28515625" style="8" customWidth="1"/>
    <col min="11" max="11" width="12.140625" style="8" customWidth="1"/>
    <col min="12" max="12" width="20.140625" style="8" customWidth="1"/>
    <col min="13" max="13" width="13" style="8" customWidth="1"/>
    <col min="14" max="14" width="11" style="8" customWidth="1"/>
    <col min="15" max="15" width="9.28515625" style="8" bestFit="1" customWidth="1"/>
    <col min="16" max="16" width="14.42578125" style="8" customWidth="1"/>
    <col min="17" max="17" width="13.140625" style="8" customWidth="1"/>
    <col min="18" max="18" width="10.85546875" style="8" bestFit="1" customWidth="1"/>
    <col min="19" max="16384" width="9.140625" style="8"/>
  </cols>
  <sheetData>
    <row r="1" spans="1:64" ht="15.75" x14ac:dyDescent="0.25">
      <c r="R1" s="28" t="s">
        <v>140</v>
      </c>
    </row>
    <row r="2" spans="1:64" ht="24.75" customHeight="1" x14ac:dyDescent="0.25">
      <c r="D2" s="101" t="s">
        <v>147</v>
      </c>
      <c r="E2" s="101"/>
      <c r="F2" s="101"/>
      <c r="G2" s="101"/>
      <c r="H2" s="101"/>
      <c r="I2" s="101"/>
      <c r="J2" s="101"/>
    </row>
    <row r="5" spans="1:64" s="13" customFormat="1" ht="51" customHeight="1" x14ac:dyDescent="0.25">
      <c r="A5" s="118" t="s">
        <v>80</v>
      </c>
      <c r="B5" s="118" t="s">
        <v>88</v>
      </c>
      <c r="C5" s="121" t="s">
        <v>99</v>
      </c>
      <c r="D5" s="144"/>
      <c r="E5" s="122"/>
      <c r="F5" s="118" t="s">
        <v>134</v>
      </c>
      <c r="G5" s="118"/>
      <c r="H5" s="118"/>
      <c r="I5" s="118" t="s">
        <v>100</v>
      </c>
      <c r="J5" s="118"/>
      <c r="K5" s="118"/>
      <c r="L5" s="118" t="s">
        <v>101</v>
      </c>
      <c r="M5" s="118" t="s">
        <v>102</v>
      </c>
      <c r="N5" s="118"/>
      <c r="O5" s="118" t="s">
        <v>103</v>
      </c>
      <c r="P5" s="118" t="s">
        <v>104</v>
      </c>
      <c r="Q5" s="118"/>
      <c r="R5" s="118"/>
      <c r="S5" s="8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</row>
    <row r="6" spans="1:64" s="13" customFormat="1" ht="92.25" customHeight="1" x14ac:dyDescent="0.25">
      <c r="A6" s="118"/>
      <c r="B6" s="118"/>
      <c r="C6" s="31" t="s">
        <v>132</v>
      </c>
      <c r="D6" s="31" t="s">
        <v>105</v>
      </c>
      <c r="E6" s="4" t="s">
        <v>106</v>
      </c>
      <c r="F6" s="31" t="s">
        <v>148</v>
      </c>
      <c r="G6" s="31" t="s">
        <v>107</v>
      </c>
      <c r="H6" s="4" t="s">
        <v>106</v>
      </c>
      <c r="I6" s="4" t="s">
        <v>108</v>
      </c>
      <c r="J6" s="4" t="s">
        <v>107</v>
      </c>
      <c r="K6" s="4" t="s">
        <v>109</v>
      </c>
      <c r="L6" s="118"/>
      <c r="M6" s="4" t="s">
        <v>110</v>
      </c>
      <c r="N6" s="4" t="s">
        <v>111</v>
      </c>
      <c r="O6" s="118"/>
      <c r="P6" s="4" t="s">
        <v>112</v>
      </c>
      <c r="Q6" s="4" t="s">
        <v>113</v>
      </c>
      <c r="R6" s="4" t="s">
        <v>114</v>
      </c>
      <c r="S6" s="8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</row>
    <row r="7" spans="1:64" s="13" customFormat="1" ht="30" x14ac:dyDescent="0.25">
      <c r="A7" s="14">
        <v>1</v>
      </c>
      <c r="B7" s="3" t="s">
        <v>14</v>
      </c>
      <c r="C7" s="21">
        <v>448.89208000000002</v>
      </c>
      <c r="D7" s="21">
        <v>336.67000999999999</v>
      </c>
      <c r="E7" s="21">
        <f>((C7-D7)/C7)*100</f>
        <v>24.999788367841113</v>
      </c>
      <c r="F7" s="21">
        <v>4224.33025</v>
      </c>
      <c r="G7" s="21">
        <v>1551.3843400000001</v>
      </c>
      <c r="H7" s="21">
        <f>((F7-G7)/F7)*100</f>
        <v>63.275022354135317</v>
      </c>
      <c r="I7" s="21">
        <v>74.744</v>
      </c>
      <c r="J7" s="21">
        <v>74.744</v>
      </c>
      <c r="K7" s="21">
        <f>((I7-J7)/I7)*100</f>
        <v>0</v>
      </c>
      <c r="L7" s="25">
        <v>1529.7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8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</row>
    <row r="8" spans="1:64" s="13" customFormat="1" ht="30" x14ac:dyDescent="0.25">
      <c r="A8" s="14">
        <v>2</v>
      </c>
      <c r="B8" s="3" t="s">
        <v>15</v>
      </c>
      <c r="C8" s="21">
        <v>5624.06041</v>
      </c>
      <c r="D8" s="21">
        <v>1389.10439</v>
      </c>
      <c r="E8" s="21">
        <f>((C8-D8)/C8)*100</f>
        <v>75.300685114795911</v>
      </c>
      <c r="F8" s="21">
        <v>1930.1323199999999</v>
      </c>
      <c r="G8" s="21">
        <v>314.62171000000001</v>
      </c>
      <c r="H8" s="21">
        <f>((F8-G8)/F8)*100</f>
        <v>83.699474552086656</v>
      </c>
      <c r="I8" s="21">
        <v>28.295000000000002</v>
      </c>
      <c r="J8" s="21">
        <v>19.96</v>
      </c>
      <c r="K8" s="21">
        <f>((I8-J8)/I8)*100</f>
        <v>29.457501325322493</v>
      </c>
      <c r="L8" s="25">
        <v>897.11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8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</row>
    <row r="9" spans="1:64" s="13" customFormat="1" ht="30" x14ac:dyDescent="0.25">
      <c r="A9" s="14">
        <v>3</v>
      </c>
      <c r="B9" s="3" t="s">
        <v>16</v>
      </c>
      <c r="C9" s="21">
        <v>1262.1927900000001</v>
      </c>
      <c r="D9" s="21">
        <v>305.37477999999999</v>
      </c>
      <c r="E9" s="21">
        <f>((C9-D9)/C9)*100</f>
        <v>75.806011378024124</v>
      </c>
      <c r="F9" s="21">
        <v>2879.3786799999998</v>
      </c>
      <c r="G9" s="21">
        <v>83.47484</v>
      </c>
      <c r="H9" s="21">
        <f>((F9-G9)/F9)*100</f>
        <v>97.100942624191404</v>
      </c>
      <c r="I9" s="21">
        <v>11</v>
      </c>
      <c r="J9" s="21">
        <f t="shared" ref="J9:J15" si="0">I9</f>
        <v>11</v>
      </c>
      <c r="K9" s="21">
        <f>(I9-J9)/I9*100</f>
        <v>0</v>
      </c>
      <c r="L9" s="25">
        <v>1086</v>
      </c>
      <c r="M9" s="21">
        <v>205.29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8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</row>
    <row r="10" spans="1:64" s="13" customFormat="1" ht="30" x14ac:dyDescent="0.25">
      <c r="A10" s="14">
        <v>4</v>
      </c>
      <c r="B10" s="3" t="s">
        <v>17</v>
      </c>
      <c r="C10" s="21">
        <v>23181.586329999998</v>
      </c>
      <c r="D10" s="21">
        <v>3175.1251400000001</v>
      </c>
      <c r="E10" s="21">
        <f t="shared" ref="E10:E63" si="1">((C10-D10)/C10)*100</f>
        <v>86.303244761593504</v>
      </c>
      <c r="F10" s="21">
        <v>1770.7727199999999</v>
      </c>
      <c r="G10" s="21">
        <v>164.78048999999999</v>
      </c>
      <c r="H10" s="21">
        <f>((F10-G10)/F10)*100</f>
        <v>90.694430282391053</v>
      </c>
      <c r="I10" s="21">
        <v>630.02656999999999</v>
      </c>
      <c r="J10" s="21">
        <f t="shared" si="0"/>
        <v>630.02656999999999</v>
      </c>
      <c r="K10" s="21">
        <f t="shared" ref="K10:K66" si="2">((I10-J10)/I10)*100</f>
        <v>0</v>
      </c>
      <c r="L10" s="25">
        <v>1907.26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8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</row>
    <row r="11" spans="1:64" s="13" customFormat="1" ht="30" x14ac:dyDescent="0.25">
      <c r="A11" s="14">
        <v>5</v>
      </c>
      <c r="B11" s="3" t="s">
        <v>18</v>
      </c>
      <c r="C11" s="21">
        <v>4474.2709999999997</v>
      </c>
      <c r="D11" s="21">
        <v>355.80101999999999</v>
      </c>
      <c r="E11" s="21">
        <f t="shared" si="1"/>
        <v>92.047843771644594</v>
      </c>
      <c r="F11" s="21">
        <v>4308.2238900000002</v>
      </c>
      <c r="G11" s="21">
        <v>1121.02189</v>
      </c>
      <c r="H11" s="21">
        <f t="shared" ref="H11:H32" si="3">((F11-G11)/F11)*100</f>
        <v>73.979488563673513</v>
      </c>
      <c r="I11" s="21">
        <v>43.256999999999998</v>
      </c>
      <c r="J11" s="21">
        <f t="shared" si="0"/>
        <v>43.256999999999998</v>
      </c>
      <c r="K11" s="21">
        <f t="shared" si="2"/>
        <v>0</v>
      </c>
      <c r="L11" s="25">
        <v>2320.1999999999998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8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</row>
    <row r="12" spans="1:64" ht="30" x14ac:dyDescent="0.25">
      <c r="A12" s="14">
        <v>6</v>
      </c>
      <c r="B12" s="3" t="s">
        <v>19</v>
      </c>
      <c r="C12" s="21">
        <v>842.63991999999996</v>
      </c>
      <c r="D12" s="21">
        <v>458.97010999999998</v>
      </c>
      <c r="E12" s="21">
        <f t="shared" si="1"/>
        <v>45.531881518264647</v>
      </c>
      <c r="F12" s="21">
        <v>1763.75676</v>
      </c>
      <c r="G12" s="21">
        <v>334.70650999999998</v>
      </c>
      <c r="H12" s="21">
        <f t="shared" si="3"/>
        <v>81.023091302000168</v>
      </c>
      <c r="I12" s="21">
        <v>23.395420000000001</v>
      </c>
      <c r="J12" s="21">
        <f t="shared" si="0"/>
        <v>23.395420000000001</v>
      </c>
      <c r="K12" s="21">
        <f t="shared" si="2"/>
        <v>0</v>
      </c>
      <c r="L12" s="25">
        <v>1945.1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</row>
    <row r="13" spans="1:64" x14ac:dyDescent="0.25">
      <c r="A13" s="14">
        <v>7</v>
      </c>
      <c r="B13" s="3" t="s">
        <v>20</v>
      </c>
      <c r="C13" s="21">
        <v>4174.9146199999996</v>
      </c>
      <c r="D13" s="21">
        <v>1420.5982899999999</v>
      </c>
      <c r="E13" s="21">
        <f t="shared" si="1"/>
        <v>65.972997790311695</v>
      </c>
      <c r="F13" s="21">
        <v>15789.50477</v>
      </c>
      <c r="G13" s="21">
        <v>5759.5212499999998</v>
      </c>
      <c r="H13" s="21">
        <f t="shared" si="3"/>
        <v>63.523103897830481</v>
      </c>
      <c r="I13" s="21">
        <v>221.32689999999999</v>
      </c>
      <c r="J13" s="21">
        <f t="shared" si="0"/>
        <v>221.32689999999999</v>
      </c>
      <c r="K13" s="21">
        <f t="shared" si="2"/>
        <v>0</v>
      </c>
      <c r="L13" s="25">
        <v>2565.71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</row>
    <row r="14" spans="1:64" ht="30" x14ac:dyDescent="0.25">
      <c r="A14" s="14">
        <v>8</v>
      </c>
      <c r="B14" s="3" t="s">
        <v>21</v>
      </c>
      <c r="C14" s="21">
        <v>23481.763770000001</v>
      </c>
      <c r="D14" s="21">
        <v>199.36266000000001</v>
      </c>
      <c r="E14" s="21">
        <f t="shared" si="1"/>
        <v>99.150989414795561</v>
      </c>
      <c r="F14" s="21">
        <v>9540.9367500000008</v>
      </c>
      <c r="G14" s="21">
        <v>2369.4558299999999</v>
      </c>
      <c r="H14" s="21">
        <f t="shared" si="3"/>
        <v>75.165375349543112</v>
      </c>
      <c r="I14" s="21">
        <v>45.97</v>
      </c>
      <c r="J14" s="21">
        <f t="shared" si="0"/>
        <v>45.97</v>
      </c>
      <c r="K14" s="21">
        <f>((I14-J14)/I14)*100</f>
        <v>0</v>
      </c>
      <c r="L14" s="25">
        <v>2427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</row>
    <row r="15" spans="1:64" ht="30" x14ac:dyDescent="0.25">
      <c r="A15" s="14">
        <v>9</v>
      </c>
      <c r="B15" s="3" t="s">
        <v>22</v>
      </c>
      <c r="C15" s="21">
        <v>5585.21792</v>
      </c>
      <c r="D15" s="25">
        <v>0</v>
      </c>
      <c r="E15" s="21">
        <f t="shared" si="1"/>
        <v>100</v>
      </c>
      <c r="F15" s="21">
        <v>8679.8918200000007</v>
      </c>
      <c r="G15" s="21">
        <v>2217.78377</v>
      </c>
      <c r="H15" s="21">
        <f>((F15-G15)/F15)*100</f>
        <v>74.449177294009189</v>
      </c>
      <c r="I15" s="21">
        <v>51.624000000000002</v>
      </c>
      <c r="J15" s="21">
        <f t="shared" si="0"/>
        <v>51.624000000000002</v>
      </c>
      <c r="K15" s="21">
        <f t="shared" si="2"/>
        <v>0</v>
      </c>
      <c r="L15" s="25">
        <v>2537.6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</row>
    <row r="16" spans="1:64" ht="30" x14ac:dyDescent="0.25">
      <c r="A16" s="14">
        <v>10</v>
      </c>
      <c r="B16" s="3" t="s">
        <v>23</v>
      </c>
      <c r="C16" s="21">
        <v>18211.519219999998</v>
      </c>
      <c r="D16" s="25">
        <v>0</v>
      </c>
      <c r="E16" s="21">
        <f t="shared" si="1"/>
        <v>100</v>
      </c>
      <c r="F16" s="21">
        <v>6778.6363199999996</v>
      </c>
      <c r="G16" s="21">
        <v>1650.8906199999999</v>
      </c>
      <c r="H16" s="21">
        <f t="shared" si="3"/>
        <v>75.645682375242103</v>
      </c>
      <c r="I16" s="21">
        <v>0</v>
      </c>
      <c r="J16" s="21">
        <f t="shared" ref="J16:J72" si="4">I16</f>
        <v>0</v>
      </c>
      <c r="K16" s="21">
        <v>0</v>
      </c>
      <c r="L16" s="25">
        <v>1821.1</v>
      </c>
      <c r="M16" s="21">
        <v>212.72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</row>
    <row r="17" spans="1:18" ht="30" x14ac:dyDescent="0.25">
      <c r="A17" s="14">
        <v>11</v>
      </c>
      <c r="B17" s="3" t="s">
        <v>24</v>
      </c>
      <c r="C17" s="21">
        <v>23966.967649999999</v>
      </c>
      <c r="D17" s="21">
        <v>11472.27061</v>
      </c>
      <c r="E17" s="21">
        <f t="shared" si="1"/>
        <v>52.132990799943769</v>
      </c>
      <c r="F17" s="21">
        <v>8136.8975600000003</v>
      </c>
      <c r="G17" s="21">
        <v>2470.9891400000001</v>
      </c>
      <c r="H17" s="21">
        <f t="shared" si="3"/>
        <v>69.63229385918433</v>
      </c>
      <c r="I17" s="21">
        <v>17.838000000000001</v>
      </c>
      <c r="J17" s="21">
        <f t="shared" si="4"/>
        <v>17.838000000000001</v>
      </c>
      <c r="K17" s="21">
        <f t="shared" si="2"/>
        <v>0</v>
      </c>
      <c r="L17" s="25">
        <v>2530.6999999999998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</row>
    <row r="18" spans="1:18" ht="30" x14ac:dyDescent="0.25">
      <c r="A18" s="14">
        <v>12</v>
      </c>
      <c r="B18" s="3" t="s">
        <v>25</v>
      </c>
      <c r="C18" s="21">
        <v>21670.382180000001</v>
      </c>
      <c r="D18" s="21">
        <v>8055.4728599999999</v>
      </c>
      <c r="E18" s="21">
        <f t="shared" si="1"/>
        <v>62.827269066650125</v>
      </c>
      <c r="F18" s="21">
        <v>12390.53926</v>
      </c>
      <c r="G18" s="21">
        <v>1588.6287199999999</v>
      </c>
      <c r="H18" s="21">
        <f t="shared" si="3"/>
        <v>87.178695885105483</v>
      </c>
      <c r="I18" s="21">
        <v>118.99926000000001</v>
      </c>
      <c r="J18" s="21">
        <f t="shared" si="4"/>
        <v>118.99926000000001</v>
      </c>
      <c r="K18" s="21">
        <f t="shared" si="2"/>
        <v>0</v>
      </c>
      <c r="L18" s="25">
        <v>1126.4000000000001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</row>
    <row r="19" spans="1:18" x14ac:dyDescent="0.25">
      <c r="A19" s="14">
        <v>13</v>
      </c>
      <c r="B19" s="3" t="s">
        <v>26</v>
      </c>
      <c r="C19" s="21">
        <v>199189.2623</v>
      </c>
      <c r="D19" s="21">
        <v>168285.45970000001</v>
      </c>
      <c r="E19" s="21">
        <f t="shared" si="1"/>
        <v>15.514793439746574</v>
      </c>
      <c r="F19" s="21">
        <v>18209.386869999998</v>
      </c>
      <c r="G19" s="21">
        <v>4828.3470299999999</v>
      </c>
      <c r="H19" s="21">
        <f t="shared" si="3"/>
        <v>73.484296508880746</v>
      </c>
      <c r="I19" s="21">
        <v>1714.8286000000001</v>
      </c>
      <c r="J19" s="21">
        <f t="shared" si="4"/>
        <v>1714.8286000000001</v>
      </c>
      <c r="K19" s="21">
        <f t="shared" si="2"/>
        <v>0</v>
      </c>
      <c r="L19" s="25">
        <v>7612.33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</row>
    <row r="20" spans="1:18" ht="30" x14ac:dyDescent="0.25">
      <c r="A20" s="14">
        <v>14</v>
      </c>
      <c r="B20" s="3" t="s">
        <v>27</v>
      </c>
      <c r="C20" s="21">
        <v>10031.931</v>
      </c>
      <c r="D20" s="21">
        <v>5818.5356700000002</v>
      </c>
      <c r="E20" s="21">
        <f t="shared" si="1"/>
        <v>41.999843599402745</v>
      </c>
      <c r="F20" s="21">
        <v>2036.4445800000001</v>
      </c>
      <c r="G20" s="21">
        <v>303.50333000000001</v>
      </c>
      <c r="H20" s="21">
        <f t="shared" si="3"/>
        <v>85.096411020426586</v>
      </c>
      <c r="I20" s="21">
        <v>104.25949</v>
      </c>
      <c r="J20" s="21">
        <f t="shared" si="4"/>
        <v>104.25949</v>
      </c>
      <c r="K20" s="21">
        <f t="shared" si="2"/>
        <v>0</v>
      </c>
      <c r="L20" s="21">
        <v>1092.5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</row>
    <row r="21" spans="1:18" ht="30" x14ac:dyDescent="0.25">
      <c r="A21" s="14">
        <v>15</v>
      </c>
      <c r="B21" s="3" t="s">
        <v>28</v>
      </c>
      <c r="C21" s="21">
        <v>56439.941899999998</v>
      </c>
      <c r="D21" s="21">
        <v>52508.908179999999</v>
      </c>
      <c r="E21" s="21">
        <f t="shared" si="1"/>
        <v>6.964985412219213</v>
      </c>
      <c r="F21" s="21">
        <v>3147.6742100000001</v>
      </c>
      <c r="G21" s="21">
        <v>471.12475000000001</v>
      </c>
      <c r="H21" s="21">
        <f t="shared" si="3"/>
        <v>85.03260761538597</v>
      </c>
      <c r="I21" s="21">
        <v>43.898000000000003</v>
      </c>
      <c r="J21" s="21">
        <f t="shared" si="4"/>
        <v>43.898000000000003</v>
      </c>
      <c r="K21" s="21">
        <f t="shared" si="2"/>
        <v>0</v>
      </c>
      <c r="L21" s="21">
        <v>1673.8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</row>
    <row r="22" spans="1:18" ht="30" x14ac:dyDescent="0.25">
      <c r="A22" s="14">
        <v>16</v>
      </c>
      <c r="B22" s="3" t="s">
        <v>29</v>
      </c>
      <c r="C22" s="21">
        <v>12401.146059999999</v>
      </c>
      <c r="D22" s="21">
        <v>5401.1211199999998</v>
      </c>
      <c r="E22" s="21">
        <f t="shared" si="1"/>
        <v>56.446597001051693</v>
      </c>
      <c r="F22" s="21">
        <v>1146.96461</v>
      </c>
      <c r="G22" s="21">
        <v>291.02276000000001</v>
      </c>
      <c r="H22" s="21">
        <f t="shared" si="3"/>
        <v>74.626700992980062</v>
      </c>
      <c r="I22" s="21">
        <v>27.268999999999998</v>
      </c>
      <c r="J22" s="21">
        <f t="shared" si="4"/>
        <v>27.268999999999998</v>
      </c>
      <c r="K22" s="21">
        <f t="shared" si="2"/>
        <v>0</v>
      </c>
      <c r="L22" s="21">
        <v>1044.2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</row>
    <row r="23" spans="1:18" x14ac:dyDescent="0.25">
      <c r="A23" s="14">
        <v>17</v>
      </c>
      <c r="B23" s="3" t="s">
        <v>30</v>
      </c>
      <c r="C23" s="21">
        <v>4950.9269999999997</v>
      </c>
      <c r="D23" s="21">
        <v>4020.5897199999999</v>
      </c>
      <c r="E23" s="21">
        <f t="shared" si="1"/>
        <v>18.791173450951707</v>
      </c>
      <c r="F23" s="21">
        <v>1372.2311999999999</v>
      </c>
      <c r="G23" s="21">
        <v>80.220119999999994</v>
      </c>
      <c r="H23" s="21">
        <f>((F23-G23)/F23)*100</f>
        <v>94.154037599494899</v>
      </c>
      <c r="I23" s="21">
        <v>69.667000000000002</v>
      </c>
      <c r="J23" s="21">
        <f t="shared" si="4"/>
        <v>69.667000000000002</v>
      </c>
      <c r="K23" s="21">
        <f t="shared" si="2"/>
        <v>0</v>
      </c>
      <c r="L23" s="21">
        <v>692.89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</row>
    <row r="24" spans="1:18" ht="30" x14ac:dyDescent="0.25">
      <c r="A24" s="14">
        <v>18</v>
      </c>
      <c r="B24" s="3" t="s">
        <v>31</v>
      </c>
      <c r="C24" s="21">
        <v>12320.588659999999</v>
      </c>
      <c r="D24" s="21">
        <v>2670.25711</v>
      </c>
      <c r="E24" s="21">
        <f>((C24-D24)/C24)*100</f>
        <v>78.326870706517042</v>
      </c>
      <c r="F24" s="21">
        <v>1633.2903100000001</v>
      </c>
      <c r="G24" s="21">
        <v>162.38222999999999</v>
      </c>
      <c r="H24" s="21">
        <f t="shared" si="3"/>
        <v>90.057968935112342</v>
      </c>
      <c r="I24" s="21">
        <v>153.27799999999999</v>
      </c>
      <c r="J24" s="21">
        <f t="shared" si="4"/>
        <v>153.27799999999999</v>
      </c>
      <c r="K24" s="21">
        <f t="shared" si="2"/>
        <v>0</v>
      </c>
      <c r="L24" s="21">
        <v>1070</v>
      </c>
      <c r="M24" s="21">
        <v>219.9</v>
      </c>
      <c r="N24" s="21"/>
      <c r="O24" s="21">
        <v>0</v>
      </c>
      <c r="P24" s="21">
        <v>0</v>
      </c>
      <c r="Q24" s="21">
        <v>0</v>
      </c>
      <c r="R24" s="21">
        <v>0</v>
      </c>
    </row>
    <row r="25" spans="1:18" ht="30" x14ac:dyDescent="0.25">
      <c r="A25" s="14">
        <v>19</v>
      </c>
      <c r="B25" s="3" t="s">
        <v>32</v>
      </c>
      <c r="C25" s="21">
        <v>9359.5428900000006</v>
      </c>
      <c r="D25" s="25">
        <v>0</v>
      </c>
      <c r="E25" s="25">
        <f t="shared" si="1"/>
        <v>100</v>
      </c>
      <c r="F25" s="25">
        <v>1695.4659099999999</v>
      </c>
      <c r="G25" s="25">
        <v>129.01607999999999</v>
      </c>
      <c r="H25" s="21">
        <f t="shared" si="3"/>
        <v>92.390523499230966</v>
      </c>
      <c r="I25" s="21">
        <v>196.39869999999999</v>
      </c>
      <c r="J25" s="21">
        <f t="shared" si="4"/>
        <v>196.39869999999999</v>
      </c>
      <c r="K25" s="21">
        <f t="shared" si="2"/>
        <v>0</v>
      </c>
      <c r="L25" s="21">
        <v>975.86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</row>
    <row r="26" spans="1:18" ht="30" x14ac:dyDescent="0.25">
      <c r="A26" s="14">
        <v>20</v>
      </c>
      <c r="B26" s="3" t="s">
        <v>33</v>
      </c>
      <c r="C26" s="21">
        <v>90.426000000000002</v>
      </c>
      <c r="D26" s="25">
        <v>0</v>
      </c>
      <c r="E26" s="25">
        <f t="shared" si="1"/>
        <v>100</v>
      </c>
      <c r="F26" s="25">
        <v>742.03854999999999</v>
      </c>
      <c r="G26" s="25">
        <v>89.894300000000001</v>
      </c>
      <c r="H26" s="21">
        <f t="shared" si="3"/>
        <v>87.885494628277726</v>
      </c>
      <c r="I26" s="21">
        <v>11.5</v>
      </c>
      <c r="J26" s="21">
        <f t="shared" si="4"/>
        <v>11.5</v>
      </c>
      <c r="K26" s="21">
        <f t="shared" si="2"/>
        <v>0</v>
      </c>
      <c r="L26" s="21">
        <v>355.7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</row>
    <row r="27" spans="1:18" ht="30" x14ac:dyDescent="0.25">
      <c r="A27" s="14">
        <v>21</v>
      </c>
      <c r="B27" s="3" t="s">
        <v>34</v>
      </c>
      <c r="C27" s="25">
        <v>2891.2350700000002</v>
      </c>
      <c r="D27" s="25">
        <v>0</v>
      </c>
      <c r="E27" s="21">
        <f t="shared" si="1"/>
        <v>100</v>
      </c>
      <c r="F27" s="25">
        <v>1397.9416699999999</v>
      </c>
      <c r="G27" s="25">
        <v>313.92263000000003</v>
      </c>
      <c r="H27" s="21">
        <f t="shared" si="3"/>
        <v>77.543939297553095</v>
      </c>
      <c r="I27" s="21">
        <v>63.211500000000001</v>
      </c>
      <c r="J27" s="21">
        <f t="shared" si="4"/>
        <v>63.211500000000001</v>
      </c>
      <c r="K27" s="21">
        <f t="shared" si="2"/>
        <v>0</v>
      </c>
      <c r="L27" s="21">
        <v>753.8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</row>
    <row r="28" spans="1:18" x14ac:dyDescent="0.25">
      <c r="A28" s="14">
        <v>22</v>
      </c>
      <c r="B28" s="3" t="s">
        <v>35</v>
      </c>
      <c r="C28" s="25">
        <v>491.14463999999998</v>
      </c>
      <c r="D28" s="25">
        <v>320.22669999999999</v>
      </c>
      <c r="E28" s="25">
        <f t="shared" si="1"/>
        <v>34.799919632636126</v>
      </c>
      <c r="F28" s="25">
        <v>921.51134000000002</v>
      </c>
      <c r="G28" s="25">
        <v>495.74394000000001</v>
      </c>
      <c r="H28" s="21">
        <f t="shared" si="3"/>
        <v>46.203164466755233</v>
      </c>
      <c r="I28" s="21">
        <v>32.299999999999997</v>
      </c>
      <c r="J28" s="21">
        <f t="shared" si="4"/>
        <v>32.299999999999997</v>
      </c>
      <c r="K28" s="21">
        <f t="shared" si="2"/>
        <v>0</v>
      </c>
      <c r="L28" s="21">
        <v>729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</row>
    <row r="29" spans="1:18" x14ac:dyDescent="0.25">
      <c r="A29" s="14">
        <v>23</v>
      </c>
      <c r="B29" s="3" t="s">
        <v>36</v>
      </c>
      <c r="C29" s="25">
        <v>176.53523000000001</v>
      </c>
      <c r="D29" s="25">
        <v>102.42637999999999</v>
      </c>
      <c r="E29" s="25">
        <f t="shared" si="1"/>
        <v>41.979637718771492</v>
      </c>
      <c r="F29" s="25">
        <v>2615.6742399999998</v>
      </c>
      <c r="G29" s="25">
        <v>978.41245000000004</v>
      </c>
      <c r="H29" s="21">
        <f t="shared" si="3"/>
        <v>62.594254474135127</v>
      </c>
      <c r="I29" s="21">
        <v>378.93738999999999</v>
      </c>
      <c r="J29" s="21">
        <f t="shared" si="4"/>
        <v>378.93738999999999</v>
      </c>
      <c r="K29" s="21">
        <f t="shared" si="2"/>
        <v>0</v>
      </c>
      <c r="L29" s="21">
        <v>3079.3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</row>
    <row r="30" spans="1:18" ht="30" x14ac:dyDescent="0.25">
      <c r="A30" s="14">
        <v>24</v>
      </c>
      <c r="B30" s="3" t="s">
        <v>37</v>
      </c>
      <c r="C30" s="25">
        <v>500.91386999999997</v>
      </c>
      <c r="D30" s="25">
        <v>320.58881000000002</v>
      </c>
      <c r="E30" s="25">
        <f t="shared" si="1"/>
        <v>35.999214795150301</v>
      </c>
      <c r="F30" s="25">
        <v>859.23721</v>
      </c>
      <c r="G30" s="25">
        <v>115.1208</v>
      </c>
      <c r="H30" s="21">
        <f t="shared" si="3"/>
        <v>86.601976885987042</v>
      </c>
      <c r="I30" s="21">
        <v>20.43</v>
      </c>
      <c r="J30" s="21">
        <f t="shared" si="4"/>
        <v>20.43</v>
      </c>
      <c r="K30" s="21">
        <f t="shared" si="2"/>
        <v>0</v>
      </c>
      <c r="L30" s="21">
        <v>709</v>
      </c>
      <c r="M30" s="21">
        <v>125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</row>
    <row r="31" spans="1:18" ht="30" x14ac:dyDescent="0.25">
      <c r="A31" s="14">
        <v>25</v>
      </c>
      <c r="B31" s="3" t="s">
        <v>38</v>
      </c>
      <c r="C31" s="25">
        <v>8316.18</v>
      </c>
      <c r="D31" s="25">
        <v>66.256789999999995</v>
      </c>
      <c r="E31" s="25">
        <f t="shared" si="1"/>
        <v>99.20327854856437</v>
      </c>
      <c r="F31" s="25">
        <v>2083.3067500000002</v>
      </c>
      <c r="G31" s="25">
        <v>519.81834000000003</v>
      </c>
      <c r="H31" s="21">
        <f t="shared" si="3"/>
        <v>75.048401297600549</v>
      </c>
      <c r="I31" s="21">
        <v>31.913</v>
      </c>
      <c r="J31" s="21">
        <f t="shared" si="4"/>
        <v>31.913</v>
      </c>
      <c r="K31" s="21">
        <f t="shared" si="2"/>
        <v>0</v>
      </c>
      <c r="L31" s="21">
        <v>1068.9000000000001</v>
      </c>
      <c r="M31" s="21">
        <v>1068.9000000000001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</row>
    <row r="32" spans="1:18" ht="30" x14ac:dyDescent="0.25">
      <c r="A32" s="14">
        <v>26</v>
      </c>
      <c r="B32" s="3" t="s">
        <v>39</v>
      </c>
      <c r="C32" s="25">
        <v>16504.2857</v>
      </c>
      <c r="D32" s="25">
        <v>7124.7016299999996</v>
      </c>
      <c r="E32" s="25">
        <f t="shared" si="1"/>
        <v>56.831202758444746</v>
      </c>
      <c r="F32" s="25">
        <v>843.19434000000001</v>
      </c>
      <c r="G32" s="25">
        <v>103.83873</v>
      </c>
      <c r="H32" s="21">
        <f t="shared" si="3"/>
        <v>87.685077440154544</v>
      </c>
      <c r="I32" s="21">
        <v>70.209999999999994</v>
      </c>
      <c r="J32" s="21">
        <f t="shared" si="4"/>
        <v>70.209999999999994</v>
      </c>
      <c r="K32" s="21">
        <f t="shared" si="2"/>
        <v>0</v>
      </c>
      <c r="L32" s="21">
        <v>1438.7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</row>
    <row r="33" spans="1:18" x14ac:dyDescent="0.25">
      <c r="A33" s="14">
        <v>27</v>
      </c>
      <c r="B33" s="3" t="s">
        <v>40</v>
      </c>
      <c r="C33" s="25">
        <v>4231.6013700000003</v>
      </c>
      <c r="D33" s="25">
        <v>962.85199999999998</v>
      </c>
      <c r="E33" s="25">
        <f t="shared" si="1"/>
        <v>77.246155395776327</v>
      </c>
      <c r="F33" s="25">
        <v>704.93993999999998</v>
      </c>
      <c r="G33" s="25">
        <v>73.606759999999994</v>
      </c>
      <c r="H33" s="21">
        <f>((F33-G33)/F33)*100</f>
        <v>89.558435290246138</v>
      </c>
      <c r="I33" s="21">
        <v>15.215</v>
      </c>
      <c r="J33" s="21">
        <f t="shared" si="4"/>
        <v>15.215</v>
      </c>
      <c r="K33" s="21">
        <f t="shared" si="2"/>
        <v>0</v>
      </c>
      <c r="L33" s="21">
        <v>1147.5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</row>
    <row r="34" spans="1:18" ht="30" x14ac:dyDescent="0.25">
      <c r="A34" s="14">
        <v>28</v>
      </c>
      <c r="B34" s="3" t="s">
        <v>41</v>
      </c>
      <c r="C34" s="25">
        <v>7158.2845900000002</v>
      </c>
      <c r="D34" s="25">
        <v>0</v>
      </c>
      <c r="E34" s="25">
        <f>((C34-D34)/C34)*100</f>
        <v>100</v>
      </c>
      <c r="F34" s="25">
        <v>1409.17518</v>
      </c>
      <c r="G34" s="25">
        <v>183.25758999999999</v>
      </c>
      <c r="H34" s="21">
        <f>((F34-G34)/F34)*100</f>
        <v>86.995400387338648</v>
      </c>
      <c r="I34" s="21">
        <v>114.45399999999999</v>
      </c>
      <c r="J34" s="21">
        <f t="shared" si="4"/>
        <v>114.45399999999999</v>
      </c>
      <c r="K34" s="21">
        <f t="shared" si="2"/>
        <v>0</v>
      </c>
      <c r="L34" s="21">
        <v>1020.8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</row>
    <row r="35" spans="1:18" ht="30" x14ac:dyDescent="0.25">
      <c r="A35" s="14">
        <v>29</v>
      </c>
      <c r="B35" s="3" t="s">
        <v>42</v>
      </c>
      <c r="C35" s="21">
        <v>4392.6114399999997</v>
      </c>
      <c r="D35" s="21">
        <v>1197.9980499999999</v>
      </c>
      <c r="E35" s="21">
        <f t="shared" si="1"/>
        <v>72.726974230163179</v>
      </c>
      <c r="F35" s="21">
        <v>1147.9776099999999</v>
      </c>
      <c r="G35" s="21">
        <v>154.47597999999999</v>
      </c>
      <c r="H35" s="21">
        <f t="shared" ref="H35:H44" si="5">((F35-G35)/F35)*100</f>
        <v>86.543641735312249</v>
      </c>
      <c r="I35" s="21">
        <v>43.19</v>
      </c>
      <c r="J35" s="21">
        <f t="shared" si="4"/>
        <v>43.19</v>
      </c>
      <c r="K35" s="21">
        <f t="shared" si="2"/>
        <v>0</v>
      </c>
      <c r="L35" s="21">
        <v>987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</row>
    <row r="36" spans="1:18" ht="30" x14ac:dyDescent="0.25">
      <c r="A36" s="14">
        <v>30</v>
      </c>
      <c r="B36" s="3" t="s">
        <v>43</v>
      </c>
      <c r="C36" s="21">
        <v>11661.90553</v>
      </c>
      <c r="D36" s="21">
        <v>7956.2689099999998</v>
      </c>
      <c r="E36" s="21">
        <f t="shared" si="1"/>
        <v>31.775567127236027</v>
      </c>
      <c r="F36" s="21">
        <v>2910.8065000000001</v>
      </c>
      <c r="G36" s="21">
        <v>360.20659000000001</v>
      </c>
      <c r="H36" s="21">
        <f t="shared" si="5"/>
        <v>87.625196315866404</v>
      </c>
      <c r="I36" s="21">
        <v>17.998999999999999</v>
      </c>
      <c r="J36" s="21">
        <f t="shared" si="4"/>
        <v>17.998999999999999</v>
      </c>
      <c r="K36" s="21">
        <f t="shared" si="2"/>
        <v>0</v>
      </c>
      <c r="L36" s="21">
        <v>1896.08</v>
      </c>
      <c r="M36" s="21">
        <v>54.19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</row>
    <row r="37" spans="1:18" ht="30" x14ac:dyDescent="0.25">
      <c r="A37" s="14">
        <v>31</v>
      </c>
      <c r="B37" s="3" t="s">
        <v>44</v>
      </c>
      <c r="C37" s="21">
        <v>46855.911</v>
      </c>
      <c r="D37" s="21">
        <v>26980.87859</v>
      </c>
      <c r="E37" s="21">
        <f t="shared" si="1"/>
        <v>42.417342840693031</v>
      </c>
      <c r="F37" s="21">
        <v>12110.515890000001</v>
      </c>
      <c r="G37" s="21">
        <v>3022.2036699999999</v>
      </c>
      <c r="H37" s="21">
        <f t="shared" si="5"/>
        <v>75.044798277375449</v>
      </c>
      <c r="I37" s="21">
        <v>154.52000000000001</v>
      </c>
      <c r="J37" s="21">
        <f t="shared" si="4"/>
        <v>154.52000000000001</v>
      </c>
      <c r="K37" s="21">
        <f t="shared" si="2"/>
        <v>0</v>
      </c>
      <c r="L37" s="21">
        <v>3098.99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</row>
    <row r="38" spans="1:18" ht="30" x14ac:dyDescent="0.25">
      <c r="A38" s="14">
        <v>32</v>
      </c>
      <c r="B38" s="3" t="s">
        <v>45</v>
      </c>
      <c r="C38" s="21">
        <v>6873.8728600000004</v>
      </c>
      <c r="D38" s="21">
        <v>387.93</v>
      </c>
      <c r="E38" s="21">
        <f t="shared" si="1"/>
        <v>94.356456572576178</v>
      </c>
      <c r="F38" s="21">
        <v>4100.3332200000004</v>
      </c>
      <c r="G38" s="21">
        <v>798.42029000000002</v>
      </c>
      <c r="H38" s="21">
        <f t="shared" si="5"/>
        <v>80.527916948174266</v>
      </c>
      <c r="I38" s="21">
        <v>22.99972</v>
      </c>
      <c r="J38" s="21">
        <f t="shared" si="4"/>
        <v>22.99972</v>
      </c>
      <c r="K38" s="21">
        <f t="shared" si="2"/>
        <v>0</v>
      </c>
      <c r="L38" s="21">
        <v>1409.8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</row>
    <row r="39" spans="1:18" ht="30" x14ac:dyDescent="0.25">
      <c r="A39" s="14">
        <v>33</v>
      </c>
      <c r="B39" s="3" t="s">
        <v>46</v>
      </c>
      <c r="C39" s="21">
        <v>57368.499969999997</v>
      </c>
      <c r="D39" s="21">
        <v>53473.02188</v>
      </c>
      <c r="E39" s="21">
        <f t="shared" si="1"/>
        <v>6.7902735683120161</v>
      </c>
      <c r="F39" s="21">
        <v>3574.5426699999998</v>
      </c>
      <c r="G39" s="21">
        <v>224.16963999999999</v>
      </c>
      <c r="H39" s="21">
        <f t="shared" si="5"/>
        <v>93.728718309019371</v>
      </c>
      <c r="I39" s="21">
        <v>17</v>
      </c>
      <c r="J39" s="21">
        <f t="shared" si="4"/>
        <v>17</v>
      </c>
      <c r="K39" s="21">
        <f t="shared" si="2"/>
        <v>0</v>
      </c>
      <c r="L39" s="21">
        <v>1453.8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</row>
    <row r="40" spans="1:18" ht="30" x14ac:dyDescent="0.25">
      <c r="A40" s="14">
        <v>34</v>
      </c>
      <c r="B40" s="3" t="s">
        <v>47</v>
      </c>
      <c r="C40" s="21">
        <v>0</v>
      </c>
      <c r="D40" s="21">
        <v>0</v>
      </c>
      <c r="E40" s="21">
        <v>0</v>
      </c>
      <c r="F40" s="21">
        <v>1052.9984400000001</v>
      </c>
      <c r="G40" s="21">
        <v>0</v>
      </c>
      <c r="H40" s="21">
        <f t="shared" si="5"/>
        <v>100</v>
      </c>
      <c r="I40" s="21">
        <v>0</v>
      </c>
      <c r="J40" s="21">
        <f t="shared" si="4"/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</row>
    <row r="41" spans="1:18" ht="30" x14ac:dyDescent="0.25">
      <c r="A41" s="14">
        <v>35</v>
      </c>
      <c r="B41" s="3" t="s">
        <v>48</v>
      </c>
      <c r="C41" s="21">
        <v>22797.37645</v>
      </c>
      <c r="D41" s="21">
        <v>1434.1567700000001</v>
      </c>
      <c r="E41" s="21">
        <f t="shared" si="1"/>
        <v>93.709114848607939</v>
      </c>
      <c r="F41" s="21">
        <v>12882.65273</v>
      </c>
      <c r="G41" s="21">
        <v>2364.7707799999998</v>
      </c>
      <c r="H41" s="21">
        <f t="shared" si="5"/>
        <v>81.643759017945669</v>
      </c>
      <c r="I41" s="21">
        <v>334.87979999999999</v>
      </c>
      <c r="J41" s="21">
        <f t="shared" si="4"/>
        <v>334.87979999999999</v>
      </c>
      <c r="K41" s="21">
        <f t="shared" si="2"/>
        <v>0</v>
      </c>
      <c r="L41" s="21">
        <v>5067.04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</row>
    <row r="42" spans="1:18" ht="30" x14ac:dyDescent="0.25">
      <c r="A42" s="14">
        <v>36</v>
      </c>
      <c r="B42" s="3" t="s">
        <v>49</v>
      </c>
      <c r="C42" s="21">
        <v>20049.020960000002</v>
      </c>
      <c r="D42" s="21">
        <v>0</v>
      </c>
      <c r="E42" s="21">
        <f t="shared" si="1"/>
        <v>100</v>
      </c>
      <c r="F42" s="21">
        <v>0</v>
      </c>
      <c r="G42" s="21">
        <v>0</v>
      </c>
      <c r="H42" s="21">
        <v>0</v>
      </c>
      <c r="I42" s="21">
        <v>9</v>
      </c>
      <c r="J42" s="21">
        <f t="shared" si="4"/>
        <v>9</v>
      </c>
      <c r="K42" s="21">
        <f t="shared" si="2"/>
        <v>0</v>
      </c>
      <c r="L42" s="21">
        <v>1203.25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</row>
    <row r="43" spans="1:18" ht="30" x14ac:dyDescent="0.25">
      <c r="A43" s="14">
        <v>37</v>
      </c>
      <c r="B43" s="3" t="s">
        <v>50</v>
      </c>
      <c r="C43" s="21">
        <v>114245.09699999999</v>
      </c>
      <c r="D43" s="21">
        <v>90876.974860000002</v>
      </c>
      <c r="E43" s="21">
        <f t="shared" si="1"/>
        <v>20.454376383434639</v>
      </c>
      <c r="F43" s="21">
        <v>15687.58268</v>
      </c>
      <c r="G43" s="21">
        <v>3190.4040799999998</v>
      </c>
      <c r="H43" s="21">
        <f t="shared" si="5"/>
        <v>79.662870022241052</v>
      </c>
      <c r="I43" s="21">
        <v>432.41660000000002</v>
      </c>
      <c r="J43" s="21">
        <f t="shared" si="4"/>
        <v>432.41660000000002</v>
      </c>
      <c r="K43" s="21">
        <f t="shared" si="2"/>
        <v>0</v>
      </c>
      <c r="L43" s="21">
        <v>6621.94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ht="30" x14ac:dyDescent="0.25">
      <c r="A44" s="14">
        <v>38</v>
      </c>
      <c r="B44" s="3" t="s">
        <v>51</v>
      </c>
      <c r="C44" s="21">
        <v>60083.637000000002</v>
      </c>
      <c r="D44" s="21">
        <v>41392.235869999997</v>
      </c>
      <c r="E44" s="21">
        <f t="shared" si="1"/>
        <v>31.108970866726999</v>
      </c>
      <c r="F44" s="21">
        <v>12763.596089999999</v>
      </c>
      <c r="G44" s="21">
        <v>3644.6616399999998</v>
      </c>
      <c r="H44" s="21">
        <f t="shared" si="5"/>
        <v>71.444868559766533</v>
      </c>
      <c r="I44" s="21">
        <v>5.8445299999999998</v>
      </c>
      <c r="J44" s="21">
        <f t="shared" si="4"/>
        <v>5.8445299999999998</v>
      </c>
      <c r="K44" s="21">
        <v>0</v>
      </c>
      <c r="L44" s="21">
        <v>6408.6</v>
      </c>
      <c r="M44" s="21">
        <v>582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30" x14ac:dyDescent="0.25">
      <c r="A45" s="14">
        <v>39</v>
      </c>
      <c r="B45" s="3" t="s">
        <v>52</v>
      </c>
      <c r="C45" s="21">
        <v>9397.7648300000001</v>
      </c>
      <c r="D45" s="21">
        <v>0</v>
      </c>
      <c r="E45" s="21">
        <f>((C45-D45)/C45)*100</f>
        <v>100</v>
      </c>
      <c r="F45" s="21">
        <v>11495.796319999999</v>
      </c>
      <c r="G45" s="21">
        <v>4226.6228099999998</v>
      </c>
      <c r="H45" s="21">
        <f>((F45-G45)/F45)*100</f>
        <v>63.2333185770988</v>
      </c>
      <c r="I45" s="21">
        <v>66.396749999999997</v>
      </c>
      <c r="J45" s="21">
        <f t="shared" si="4"/>
        <v>66.396749999999997</v>
      </c>
      <c r="K45" s="21">
        <f t="shared" si="2"/>
        <v>0</v>
      </c>
      <c r="L45" s="21">
        <v>3181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30" x14ac:dyDescent="0.25">
      <c r="A46" s="14">
        <v>40</v>
      </c>
      <c r="B46" s="3" t="s">
        <v>53</v>
      </c>
      <c r="C46" s="21">
        <v>28582.984130000001</v>
      </c>
      <c r="D46" s="21">
        <v>19786.77464</v>
      </c>
      <c r="E46" s="21">
        <f t="shared" si="1"/>
        <v>30.774286722454967</v>
      </c>
      <c r="F46" s="21">
        <v>14097.26325</v>
      </c>
      <c r="G46" s="21">
        <v>8497.0157600000002</v>
      </c>
      <c r="H46" s="21">
        <f>((F46-G46)/F46)*100</f>
        <v>39.725777909410894</v>
      </c>
      <c r="I46" s="21">
        <v>13.739750000000001</v>
      </c>
      <c r="J46" s="21">
        <f t="shared" si="4"/>
        <v>13.739750000000001</v>
      </c>
      <c r="K46" s="21">
        <v>0</v>
      </c>
      <c r="L46" s="21">
        <v>1852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</row>
    <row r="47" spans="1:18" ht="30" x14ac:dyDescent="0.25">
      <c r="A47" s="14">
        <v>41</v>
      </c>
      <c r="B47" s="3" t="s">
        <v>54</v>
      </c>
      <c r="C47" s="21">
        <v>77929.827040000004</v>
      </c>
      <c r="D47" s="21">
        <v>70301.459900000002</v>
      </c>
      <c r="E47" s="21">
        <f t="shared" si="1"/>
        <v>9.7887643662862178</v>
      </c>
      <c r="F47" s="21">
        <v>5176.6484799999998</v>
      </c>
      <c r="G47" s="21">
        <v>416.4873</v>
      </c>
      <c r="H47" s="21">
        <f t="shared" ref="H47:H56" si="6">((F47-G47)/F47)*100</f>
        <v>91.954499100931812</v>
      </c>
      <c r="I47" s="21"/>
      <c r="J47" s="21">
        <f t="shared" si="4"/>
        <v>0</v>
      </c>
      <c r="K47" s="21">
        <v>0</v>
      </c>
      <c r="L47" s="21">
        <v>3823.5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</row>
    <row r="48" spans="1:18" ht="30" x14ac:dyDescent="0.25">
      <c r="A48" s="14">
        <v>42</v>
      </c>
      <c r="B48" s="3" t="s">
        <v>55</v>
      </c>
      <c r="C48" s="21">
        <v>14488.12566</v>
      </c>
      <c r="D48" s="21">
        <v>8575.4025199999996</v>
      </c>
      <c r="E48" s="21">
        <f t="shared" si="1"/>
        <v>40.810821763675953</v>
      </c>
      <c r="F48" s="21">
        <v>6006.3633600000003</v>
      </c>
      <c r="G48" s="21">
        <v>984.30377999999996</v>
      </c>
      <c r="H48" s="21">
        <f t="shared" si="6"/>
        <v>83.612317120954188</v>
      </c>
      <c r="I48" s="21">
        <v>170.78493</v>
      </c>
      <c r="J48" s="21">
        <f t="shared" si="4"/>
        <v>170.78493</v>
      </c>
      <c r="K48" s="21">
        <f t="shared" si="2"/>
        <v>0</v>
      </c>
      <c r="L48" s="21">
        <v>3019.2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1:18" ht="30" x14ac:dyDescent="0.25">
      <c r="A49" s="14">
        <v>43</v>
      </c>
      <c r="B49" s="3" t="s">
        <v>56</v>
      </c>
      <c r="C49" s="21">
        <v>1338.0535500000001</v>
      </c>
      <c r="D49" s="21">
        <v>558.11878999999999</v>
      </c>
      <c r="E49" s="21">
        <f t="shared" si="1"/>
        <v>58.288755334194207</v>
      </c>
      <c r="F49" s="21">
        <v>4287.6306699999996</v>
      </c>
      <c r="G49" s="21">
        <v>538.28521000000001</v>
      </c>
      <c r="H49" s="21">
        <f t="shared" si="6"/>
        <v>87.445625534719852</v>
      </c>
      <c r="I49" s="21">
        <v>11.408379999999999</v>
      </c>
      <c r="J49" s="21">
        <f t="shared" si="4"/>
        <v>11.408379999999999</v>
      </c>
      <c r="K49" s="21">
        <f t="shared" si="2"/>
        <v>0</v>
      </c>
      <c r="L49" s="21">
        <v>2084.1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1:18" ht="30" x14ac:dyDescent="0.25">
      <c r="A50" s="14">
        <v>44</v>
      </c>
      <c r="B50" s="3" t="s">
        <v>57</v>
      </c>
      <c r="C50" s="21">
        <v>47556.944179999999</v>
      </c>
      <c r="D50" s="21">
        <v>25881.07703</v>
      </c>
      <c r="E50" s="21">
        <f t="shared" si="1"/>
        <v>45.578763572272898</v>
      </c>
      <c r="F50" s="21">
        <v>4988.9776000000002</v>
      </c>
      <c r="G50" s="21">
        <v>1256.1528900000001</v>
      </c>
      <c r="H50" s="21">
        <f t="shared" si="6"/>
        <v>74.821436560468811</v>
      </c>
      <c r="I50" s="21">
        <v>0</v>
      </c>
      <c r="J50" s="21">
        <f t="shared" si="4"/>
        <v>0</v>
      </c>
      <c r="K50" s="21">
        <v>0</v>
      </c>
      <c r="L50" s="21">
        <v>2957.8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1:18" ht="30" x14ac:dyDescent="0.25">
      <c r="A51" s="14">
        <v>45</v>
      </c>
      <c r="B51" s="3" t="s">
        <v>58</v>
      </c>
      <c r="C51" s="21">
        <v>37699.180800000002</v>
      </c>
      <c r="D51" s="21">
        <v>7950.31772</v>
      </c>
      <c r="E51" s="21">
        <f t="shared" si="1"/>
        <v>78.911165836261361</v>
      </c>
      <c r="F51" s="21">
        <v>6767.1303699999999</v>
      </c>
      <c r="G51" s="21">
        <v>1962.2966100000001</v>
      </c>
      <c r="H51" s="21">
        <f t="shared" si="6"/>
        <v>71.002529835996043</v>
      </c>
      <c r="I51" s="21">
        <v>16.422799999999999</v>
      </c>
      <c r="J51" s="21">
        <f t="shared" si="4"/>
        <v>16.422799999999999</v>
      </c>
      <c r="K51" s="21">
        <v>0</v>
      </c>
      <c r="L51" s="21">
        <v>3751.1</v>
      </c>
      <c r="M51" s="21">
        <v>282.95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</row>
    <row r="52" spans="1:18" ht="30" x14ac:dyDescent="0.25">
      <c r="A52" s="14">
        <v>46</v>
      </c>
      <c r="B52" s="3" t="s">
        <v>59</v>
      </c>
      <c r="C52" s="21">
        <v>32815.73401</v>
      </c>
      <c r="D52" s="21">
        <v>13035.14452</v>
      </c>
      <c r="E52" s="21">
        <f t="shared" si="1"/>
        <v>60.277760308430771</v>
      </c>
      <c r="F52" s="21">
        <v>5660.2570400000004</v>
      </c>
      <c r="G52" s="21">
        <v>1652.9895799999999</v>
      </c>
      <c r="H52" s="21">
        <f t="shared" si="6"/>
        <v>70.796563330629255</v>
      </c>
      <c r="I52" s="21">
        <v>51.88</v>
      </c>
      <c r="J52" s="21">
        <f t="shared" si="4"/>
        <v>51.88</v>
      </c>
      <c r="K52" s="21">
        <f t="shared" si="2"/>
        <v>0</v>
      </c>
      <c r="L52" s="21">
        <v>1943.1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1:18" ht="30" x14ac:dyDescent="0.25">
      <c r="A53" s="14">
        <v>47</v>
      </c>
      <c r="B53" s="3" t="s">
        <v>60</v>
      </c>
      <c r="C53" s="21">
        <v>6264.9893599999996</v>
      </c>
      <c r="D53" s="21">
        <v>1638.19192</v>
      </c>
      <c r="E53" s="21">
        <f t="shared" si="1"/>
        <v>73.851640827048428</v>
      </c>
      <c r="F53" s="21">
        <v>5613.77142</v>
      </c>
      <c r="G53" s="21">
        <v>1708.1316300000001</v>
      </c>
      <c r="H53" s="21">
        <f t="shared" si="6"/>
        <v>69.572476287251476</v>
      </c>
      <c r="I53" s="21">
        <v>10</v>
      </c>
      <c r="J53" s="21">
        <f t="shared" si="4"/>
        <v>10</v>
      </c>
      <c r="K53" s="21">
        <v>0</v>
      </c>
      <c r="L53" s="21">
        <v>2556.41</v>
      </c>
      <c r="M53" s="21">
        <v>449.29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1:18" ht="30" x14ac:dyDescent="0.25">
      <c r="A54" s="14">
        <v>48</v>
      </c>
      <c r="B54" s="3" t="s">
        <v>61</v>
      </c>
      <c r="C54" s="21">
        <v>7935.2151599999997</v>
      </c>
      <c r="D54" s="21">
        <v>916.60104999999999</v>
      </c>
      <c r="E54" s="21">
        <f t="shared" si="1"/>
        <v>88.448945220535137</v>
      </c>
      <c r="F54" s="21">
        <v>4122.4740400000001</v>
      </c>
      <c r="G54" s="21">
        <v>1500.9893400000001</v>
      </c>
      <c r="H54" s="21">
        <f t="shared" si="6"/>
        <v>63.590083880795035</v>
      </c>
      <c r="I54" s="21">
        <v>11.016999999999999</v>
      </c>
      <c r="J54" s="21">
        <f t="shared" si="4"/>
        <v>11.016999999999999</v>
      </c>
      <c r="K54" s="21">
        <v>0</v>
      </c>
      <c r="L54" s="21">
        <v>1039.8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1:18" ht="30" x14ac:dyDescent="0.25">
      <c r="A55" s="14">
        <v>49</v>
      </c>
      <c r="B55" s="3" t="s">
        <v>62</v>
      </c>
      <c r="C55" s="21">
        <v>13608.201230000001</v>
      </c>
      <c r="D55" s="21">
        <v>9037.6282699999992</v>
      </c>
      <c r="E55" s="21">
        <f>((C55-D55)/C55)*100</f>
        <v>33.5869001549149</v>
      </c>
      <c r="F55" s="21">
        <v>5157.1408899999997</v>
      </c>
      <c r="G55" s="21">
        <v>1978.48873</v>
      </c>
      <c r="H55" s="21">
        <f t="shared" si="6"/>
        <v>61.635937970273289</v>
      </c>
      <c r="I55" s="21">
        <v>17.09</v>
      </c>
      <c r="J55" s="21">
        <f t="shared" si="4"/>
        <v>17.09</v>
      </c>
      <c r="K55" s="21">
        <f t="shared" si="2"/>
        <v>0</v>
      </c>
      <c r="L55" s="21"/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21">
        <v>0</v>
      </c>
    </row>
    <row r="56" spans="1:18" ht="30" x14ac:dyDescent="0.25">
      <c r="A56" s="14">
        <v>50</v>
      </c>
      <c r="B56" s="3" t="s">
        <v>63</v>
      </c>
      <c r="C56" s="21">
        <v>25962.263660000001</v>
      </c>
      <c r="D56" s="21">
        <v>4194.0516500000003</v>
      </c>
      <c r="E56" s="21">
        <f t="shared" si="1"/>
        <v>83.845585635655624</v>
      </c>
      <c r="F56" s="21">
        <v>8744.5735800000002</v>
      </c>
      <c r="G56" s="21">
        <v>2642.0723899999998</v>
      </c>
      <c r="H56" s="21">
        <f t="shared" si="6"/>
        <v>69.786149480830389</v>
      </c>
      <c r="I56" s="21">
        <v>60.603250000000003</v>
      </c>
      <c r="J56" s="21">
        <f t="shared" si="4"/>
        <v>60.603250000000003</v>
      </c>
      <c r="K56" s="21">
        <f t="shared" si="2"/>
        <v>0</v>
      </c>
      <c r="L56" s="21">
        <v>2766.8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</row>
    <row r="57" spans="1:18" ht="30" x14ac:dyDescent="0.25">
      <c r="A57" s="14">
        <v>51</v>
      </c>
      <c r="B57" s="3" t="s">
        <v>64</v>
      </c>
      <c r="C57" s="21">
        <v>5588.75407</v>
      </c>
      <c r="D57" s="21">
        <v>2543.0597200000002</v>
      </c>
      <c r="E57" s="21">
        <f t="shared" si="1"/>
        <v>54.49683975806078</v>
      </c>
      <c r="F57" s="21">
        <v>4476.6258799999996</v>
      </c>
      <c r="G57" s="21">
        <v>2083.2172500000001</v>
      </c>
      <c r="H57" s="21">
        <f>((F57-G57)/F57)*100</f>
        <v>53.464566710676294</v>
      </c>
      <c r="I57" s="21">
        <v>69.074640000000002</v>
      </c>
      <c r="J57" s="21">
        <f t="shared" si="4"/>
        <v>69.074640000000002</v>
      </c>
      <c r="K57" s="21">
        <v>0</v>
      </c>
      <c r="L57" s="21">
        <v>1186.5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</row>
    <row r="58" spans="1:18" ht="30" x14ac:dyDescent="0.25">
      <c r="A58" s="14">
        <v>52</v>
      </c>
      <c r="B58" s="3" t="s">
        <v>65</v>
      </c>
      <c r="C58" s="21">
        <v>59769.39615</v>
      </c>
      <c r="D58" s="21">
        <v>0</v>
      </c>
      <c r="E58" s="21">
        <f t="shared" si="1"/>
        <v>100</v>
      </c>
      <c r="F58" s="21">
        <v>6081.0404399999998</v>
      </c>
      <c r="G58" s="21">
        <v>1783.6730600000001</v>
      </c>
      <c r="H58" s="21">
        <f>((F58-G58)/F58)*100</f>
        <v>70.668291428103046</v>
      </c>
      <c r="I58" s="21">
        <v>0</v>
      </c>
      <c r="J58" s="21">
        <f t="shared" si="4"/>
        <v>0</v>
      </c>
      <c r="K58" s="21">
        <v>0</v>
      </c>
      <c r="L58" s="21">
        <v>3214.66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1:18" ht="30" x14ac:dyDescent="0.25">
      <c r="A59" s="14">
        <v>53</v>
      </c>
      <c r="B59" s="3" t="s">
        <v>66</v>
      </c>
      <c r="C59" s="21">
        <v>18668.31494</v>
      </c>
      <c r="D59" s="25">
        <v>13458.991540000001</v>
      </c>
      <c r="E59" s="21">
        <f t="shared" si="1"/>
        <v>27.904625654445915</v>
      </c>
      <c r="F59" s="21">
        <v>7181.6802299999999</v>
      </c>
      <c r="G59" s="21">
        <v>524.47303999999997</v>
      </c>
      <c r="H59" s="21">
        <f t="shared" ref="H59:H77" si="7">((F59-G59)/F59)*100</f>
        <v>92.697070557261512</v>
      </c>
      <c r="I59" s="21">
        <v>29.77</v>
      </c>
      <c r="J59" s="21">
        <f t="shared" si="4"/>
        <v>29.77</v>
      </c>
      <c r="K59" s="21">
        <f t="shared" si="2"/>
        <v>0</v>
      </c>
      <c r="L59" s="21">
        <v>3611.4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1:18" ht="30" x14ac:dyDescent="0.25">
      <c r="A60" s="14">
        <v>54</v>
      </c>
      <c r="B60" s="3" t="s">
        <v>67</v>
      </c>
      <c r="C60" s="21">
        <v>49287.292690000002</v>
      </c>
      <c r="D60" s="25">
        <v>31946.43432</v>
      </c>
      <c r="E60" s="21">
        <f t="shared" si="1"/>
        <v>35.183223552301797</v>
      </c>
      <c r="F60" s="21">
        <v>4021.7592100000002</v>
      </c>
      <c r="G60" s="21">
        <v>517.06632000000002</v>
      </c>
      <c r="H60" s="21">
        <f t="shared" si="7"/>
        <v>87.14328001750259</v>
      </c>
      <c r="I60" s="21">
        <v>130.25458</v>
      </c>
      <c r="J60" s="21">
        <f t="shared" si="4"/>
        <v>130.25458</v>
      </c>
      <c r="K60" s="21">
        <f t="shared" si="2"/>
        <v>0</v>
      </c>
      <c r="L60" s="21">
        <v>2940.53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</row>
    <row r="61" spans="1:18" ht="30" x14ac:dyDescent="0.25">
      <c r="A61" s="14">
        <v>55</v>
      </c>
      <c r="B61" s="3" t="s">
        <v>68</v>
      </c>
      <c r="C61" s="21">
        <v>32622.15005</v>
      </c>
      <c r="D61" s="25">
        <v>3136.5673299999999</v>
      </c>
      <c r="E61" s="21">
        <f t="shared" si="1"/>
        <v>90.385160618804761</v>
      </c>
      <c r="F61" s="21">
        <v>9706.1170299999994</v>
      </c>
      <c r="G61" s="21">
        <v>3063.7229900000002</v>
      </c>
      <c r="H61" s="21">
        <f t="shared" si="7"/>
        <v>68.435132396090623</v>
      </c>
      <c r="I61" s="21">
        <v>83.968800000000002</v>
      </c>
      <c r="J61" s="21">
        <f t="shared" si="4"/>
        <v>83.968800000000002</v>
      </c>
      <c r="K61" s="21">
        <v>0</v>
      </c>
      <c r="L61" s="21">
        <v>2965.26</v>
      </c>
      <c r="M61" s="21">
        <v>81.3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</row>
    <row r="62" spans="1:18" ht="30" x14ac:dyDescent="0.25">
      <c r="A62" s="14">
        <v>56</v>
      </c>
      <c r="B62" s="3" t="s">
        <v>69</v>
      </c>
      <c r="C62" s="21">
        <v>3435.2156100000002</v>
      </c>
      <c r="D62" s="25">
        <v>1471.97037</v>
      </c>
      <c r="E62" s="21">
        <f t="shared" si="1"/>
        <v>57.150568199706107</v>
      </c>
      <c r="F62" s="21">
        <v>2420.7059599999998</v>
      </c>
      <c r="G62" s="21">
        <v>605.17238999999995</v>
      </c>
      <c r="H62" s="21">
        <f t="shared" si="7"/>
        <v>75.000169372078545</v>
      </c>
      <c r="I62" s="21">
        <v>23</v>
      </c>
      <c r="J62" s="21">
        <f t="shared" si="4"/>
        <v>23</v>
      </c>
      <c r="K62" s="21">
        <f t="shared" si="2"/>
        <v>0</v>
      </c>
      <c r="L62" s="21">
        <v>1070.48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1:18" ht="30" x14ac:dyDescent="0.25">
      <c r="A63" s="14">
        <v>57</v>
      </c>
      <c r="B63" s="3" t="s">
        <v>70</v>
      </c>
      <c r="C63" s="21">
        <v>4657.8463300000003</v>
      </c>
      <c r="D63" s="25">
        <v>0</v>
      </c>
      <c r="E63" s="21">
        <f t="shared" si="1"/>
        <v>100</v>
      </c>
      <c r="F63" s="21">
        <v>3000.9963299999999</v>
      </c>
      <c r="G63" s="21">
        <v>589.73999000000003</v>
      </c>
      <c r="H63" s="21">
        <f t="shared" si="7"/>
        <v>80.348526784103058</v>
      </c>
      <c r="I63" s="21">
        <v>0</v>
      </c>
      <c r="J63" s="21">
        <f t="shared" si="4"/>
        <v>0</v>
      </c>
      <c r="K63" s="21">
        <v>0</v>
      </c>
      <c r="L63" s="21">
        <v>3274.9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1:18" x14ac:dyDescent="0.25">
      <c r="A64" s="14">
        <v>58</v>
      </c>
      <c r="B64" s="3" t="s">
        <v>71</v>
      </c>
      <c r="C64" s="21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f t="shared" si="4"/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</row>
    <row r="65" spans="1:18" x14ac:dyDescent="0.25">
      <c r="A65" s="14">
        <v>59</v>
      </c>
      <c r="B65" s="3" t="s">
        <v>72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f t="shared" si="4"/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</row>
    <row r="66" spans="1:18" x14ac:dyDescent="0.25">
      <c r="A66" s="14">
        <v>60</v>
      </c>
      <c r="B66" s="3" t="s">
        <v>73</v>
      </c>
      <c r="C66" s="21">
        <v>0</v>
      </c>
      <c r="D66" s="21">
        <v>0</v>
      </c>
      <c r="E66" s="21">
        <v>0</v>
      </c>
      <c r="F66" s="21">
        <v>1829.5744500000001</v>
      </c>
      <c r="G66" s="21">
        <v>94.694469999999995</v>
      </c>
      <c r="H66" s="21">
        <f t="shared" si="7"/>
        <v>94.824235220381453</v>
      </c>
      <c r="I66" s="21">
        <v>233</v>
      </c>
      <c r="J66" s="21">
        <f t="shared" si="4"/>
        <v>233</v>
      </c>
      <c r="K66" s="21">
        <f t="shared" si="2"/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</row>
    <row r="67" spans="1:18" x14ac:dyDescent="0.25">
      <c r="A67" s="14">
        <v>61</v>
      </c>
      <c r="B67" s="3" t="s">
        <v>74</v>
      </c>
      <c r="C67" s="21">
        <v>0</v>
      </c>
      <c r="D67" s="21">
        <v>0</v>
      </c>
      <c r="E67" s="21">
        <v>0</v>
      </c>
      <c r="F67" s="21">
        <v>345.02818000000002</v>
      </c>
      <c r="G67" s="21">
        <v>0</v>
      </c>
      <c r="H67" s="21">
        <f t="shared" si="7"/>
        <v>100</v>
      </c>
      <c r="I67" s="21">
        <v>0</v>
      </c>
      <c r="J67" s="21">
        <f t="shared" si="4"/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1:18" x14ac:dyDescent="0.25">
      <c r="A68" s="14">
        <v>62</v>
      </c>
      <c r="B68" s="3" t="s">
        <v>75</v>
      </c>
      <c r="C68" s="21">
        <v>0</v>
      </c>
      <c r="D68" s="21">
        <v>0</v>
      </c>
      <c r="E68" s="21">
        <v>0</v>
      </c>
      <c r="F68" s="21">
        <v>1502.86013</v>
      </c>
      <c r="G68" s="21">
        <v>63.340780000000002</v>
      </c>
      <c r="H68" s="21">
        <f t="shared" si="7"/>
        <v>95.785317692871402</v>
      </c>
      <c r="I68" s="21">
        <v>0</v>
      </c>
      <c r="J68" s="21">
        <f t="shared" si="4"/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</row>
    <row r="69" spans="1:18" ht="30" x14ac:dyDescent="0.25">
      <c r="A69" s="14">
        <v>63</v>
      </c>
      <c r="B69" s="3" t="s">
        <v>76</v>
      </c>
      <c r="C69" s="21">
        <v>0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f t="shared" si="4"/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  <c r="R69" s="21">
        <v>0</v>
      </c>
    </row>
    <row r="70" spans="1:18" x14ac:dyDescent="0.25">
      <c r="A70" s="14">
        <v>64</v>
      </c>
      <c r="B70" s="3" t="s">
        <v>77</v>
      </c>
      <c r="C70" s="21">
        <v>6474.8639800000001</v>
      </c>
      <c r="D70" s="21">
        <v>2010.6768</v>
      </c>
      <c r="E70" s="21">
        <f>((C70-D70)/C70)*100</f>
        <v>68.946424106966333</v>
      </c>
      <c r="F70" s="21">
        <v>3415.4014499999998</v>
      </c>
      <c r="G70" s="21">
        <v>1898.8716899999999</v>
      </c>
      <c r="H70" s="21">
        <f t="shared" si="7"/>
        <v>44.402679515170902</v>
      </c>
      <c r="I70" s="21">
        <v>8</v>
      </c>
      <c r="J70" s="21">
        <f>I70</f>
        <v>8</v>
      </c>
      <c r="K70" s="21">
        <v>0</v>
      </c>
      <c r="L70" s="21">
        <v>1668</v>
      </c>
      <c r="M70" s="21">
        <v>271.89999999999998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</row>
    <row r="71" spans="1:18" ht="30" x14ac:dyDescent="0.25">
      <c r="A71" s="14">
        <v>65</v>
      </c>
      <c r="B71" s="3" t="s">
        <v>78</v>
      </c>
      <c r="C71" s="21">
        <v>0</v>
      </c>
      <c r="D71" s="21">
        <v>0</v>
      </c>
      <c r="E71" s="21">
        <v>0</v>
      </c>
      <c r="F71" s="21">
        <v>336.66343000000001</v>
      </c>
      <c r="G71" s="21">
        <v>0</v>
      </c>
      <c r="H71" s="21">
        <f t="shared" si="7"/>
        <v>100</v>
      </c>
      <c r="I71" s="21">
        <v>0</v>
      </c>
      <c r="J71" s="21">
        <f t="shared" si="4"/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</row>
    <row r="72" spans="1:18" x14ac:dyDescent="0.25">
      <c r="A72" s="14">
        <v>66</v>
      </c>
      <c r="B72" s="3" t="s">
        <v>79</v>
      </c>
      <c r="C72" s="21">
        <v>0</v>
      </c>
      <c r="D72" s="21">
        <v>0</v>
      </c>
      <c r="E72" s="21">
        <v>0</v>
      </c>
      <c r="F72" s="21">
        <v>333.23334</v>
      </c>
      <c r="G72" s="21">
        <v>9.8924500000000002</v>
      </c>
      <c r="H72" s="21">
        <f t="shared" si="7"/>
        <v>97.031374471714031</v>
      </c>
      <c r="I72" s="21">
        <v>0</v>
      </c>
      <c r="J72" s="21">
        <f t="shared" si="4"/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1:18" s="11" customFormat="1" ht="60" x14ac:dyDescent="0.2">
      <c r="A73" s="14">
        <v>67</v>
      </c>
      <c r="B73" s="3" t="s">
        <v>157</v>
      </c>
      <c r="C73" s="21">
        <v>35</v>
      </c>
      <c r="D73" s="21">
        <v>2.3328700000000002</v>
      </c>
      <c r="E73" s="21">
        <f>((C73-D73)/C73)*100</f>
        <v>93.334657142857154</v>
      </c>
      <c r="F73" s="21" t="s">
        <v>146</v>
      </c>
      <c r="G73" s="21" t="s">
        <v>146</v>
      </c>
      <c r="H73" s="21" t="s">
        <v>146</v>
      </c>
      <c r="I73" s="21">
        <v>10422.22899</v>
      </c>
      <c r="J73" s="21">
        <v>1102.4635699999999</v>
      </c>
      <c r="K73" s="21">
        <v>89.421998201557457</v>
      </c>
      <c r="L73" s="21">
        <v>184.4</v>
      </c>
      <c r="M73" s="21">
        <v>24</v>
      </c>
      <c r="N73" s="21">
        <v>160.4</v>
      </c>
      <c r="O73" s="21" t="s">
        <v>159</v>
      </c>
      <c r="P73" s="21">
        <v>23.942640000000001</v>
      </c>
      <c r="Q73" s="21">
        <v>0</v>
      </c>
      <c r="R73" s="21">
        <v>23.942640000000001</v>
      </c>
    </row>
    <row r="74" spans="1:18" ht="60" x14ac:dyDescent="0.25">
      <c r="A74" s="14">
        <v>68</v>
      </c>
      <c r="B74" s="3" t="s">
        <v>152</v>
      </c>
      <c r="C74" s="38">
        <v>266.25</v>
      </c>
      <c r="D74" s="38">
        <v>33.82</v>
      </c>
      <c r="E74" s="21">
        <f>((C74-D74)/C74)*100</f>
        <v>87.297652582159628</v>
      </c>
      <c r="F74" s="81">
        <v>798.67629999999997</v>
      </c>
      <c r="G74" s="81">
        <v>107.48605999999999</v>
      </c>
      <c r="H74" s="21">
        <f t="shared" si="7"/>
        <v>86.541974514581199</v>
      </c>
      <c r="I74" s="38">
        <v>183.185</v>
      </c>
      <c r="J74" s="38">
        <v>87.083299999999994</v>
      </c>
      <c r="K74" s="38">
        <v>52.461555258345392</v>
      </c>
      <c r="L74" s="25" t="s">
        <v>146</v>
      </c>
      <c r="M74" s="21" t="s">
        <v>146</v>
      </c>
      <c r="N74" s="21" t="s">
        <v>146</v>
      </c>
      <c r="O74" s="21" t="s">
        <v>146</v>
      </c>
      <c r="P74" s="21" t="s">
        <v>146</v>
      </c>
      <c r="Q74" s="21" t="s">
        <v>146</v>
      </c>
      <c r="R74" s="21" t="s">
        <v>146</v>
      </c>
    </row>
    <row r="75" spans="1:18" ht="75" x14ac:dyDescent="0.25">
      <c r="A75" s="14">
        <v>69</v>
      </c>
      <c r="B75" s="3" t="s">
        <v>153</v>
      </c>
      <c r="C75" s="21">
        <v>4493.0950000000003</v>
      </c>
      <c r="D75" s="21">
        <v>2723.5499599999998</v>
      </c>
      <c r="E75" s="21">
        <f>((C75-D75)/C75)*100</f>
        <v>39.383655141945596</v>
      </c>
      <c r="F75" s="81">
        <v>1493.37302</v>
      </c>
      <c r="G75" s="81">
        <v>178.03455</v>
      </c>
      <c r="H75" s="21">
        <f t="shared" si="7"/>
        <v>88.078360355003596</v>
      </c>
      <c r="I75" s="21">
        <v>109.378</v>
      </c>
      <c r="J75" s="21"/>
      <c r="K75" s="21">
        <v>0</v>
      </c>
      <c r="L75" s="25" t="s">
        <v>146</v>
      </c>
      <c r="M75" s="21" t="s">
        <v>146</v>
      </c>
      <c r="N75" s="21" t="s">
        <v>146</v>
      </c>
      <c r="O75" s="21" t="s">
        <v>146</v>
      </c>
      <c r="P75" s="21" t="s">
        <v>146</v>
      </c>
      <c r="Q75" s="21" t="s">
        <v>146</v>
      </c>
      <c r="R75" s="21" t="s">
        <v>146</v>
      </c>
    </row>
    <row r="76" spans="1:18" ht="60" x14ac:dyDescent="0.25">
      <c r="A76" s="14">
        <v>70</v>
      </c>
      <c r="B76" s="3" t="s">
        <v>154</v>
      </c>
      <c r="C76" s="21">
        <v>1053.662</v>
      </c>
      <c r="D76" s="21">
        <v>0</v>
      </c>
      <c r="E76" s="21">
        <f>((C76-D76)/C76)*100</f>
        <v>100</v>
      </c>
      <c r="F76" s="81">
        <v>1488.8669299999999</v>
      </c>
      <c r="G76" s="81">
        <v>400.89713</v>
      </c>
      <c r="H76" s="21">
        <f t="shared" si="7"/>
        <v>73.073676235121965</v>
      </c>
      <c r="I76" s="21">
        <v>141.51599999999999</v>
      </c>
      <c r="J76" s="21">
        <v>45.616</v>
      </c>
      <c r="K76" s="21">
        <v>0</v>
      </c>
      <c r="L76" s="25" t="s">
        <v>146</v>
      </c>
      <c r="M76" s="21" t="s">
        <v>146</v>
      </c>
      <c r="N76" s="21" t="s">
        <v>146</v>
      </c>
      <c r="O76" s="21" t="s">
        <v>146</v>
      </c>
      <c r="P76" s="21" t="s">
        <v>146</v>
      </c>
      <c r="Q76" s="21" t="s">
        <v>146</v>
      </c>
      <c r="R76" s="21" t="s">
        <v>146</v>
      </c>
    </row>
    <row r="77" spans="1:18" ht="60" x14ac:dyDescent="0.25">
      <c r="A77" s="14">
        <v>71</v>
      </c>
      <c r="B77" s="3" t="s">
        <v>155</v>
      </c>
      <c r="C77" s="38">
        <v>5421.4982499999996</v>
      </c>
      <c r="D77" s="38">
        <v>0</v>
      </c>
      <c r="E77" s="21">
        <f>((C77-D77)/C77)*100</f>
        <v>100</v>
      </c>
      <c r="F77" s="81">
        <v>1566.1</v>
      </c>
      <c r="G77" s="81">
        <v>63.215589999999999</v>
      </c>
      <c r="H77" s="21">
        <f t="shared" si="7"/>
        <v>95.96350233063022</v>
      </c>
      <c r="I77" s="38">
        <v>190.36091999999999</v>
      </c>
      <c r="J77" s="38">
        <v>45.31174</v>
      </c>
      <c r="K77" s="38">
        <v>76.196931597094604</v>
      </c>
      <c r="L77" s="39">
        <v>711</v>
      </c>
      <c r="M77" s="38">
        <v>246</v>
      </c>
      <c r="N77" s="38" t="s">
        <v>146</v>
      </c>
      <c r="O77" s="38" t="s">
        <v>146</v>
      </c>
      <c r="P77" s="38" t="s">
        <v>146</v>
      </c>
      <c r="Q77" s="38" t="s">
        <v>146</v>
      </c>
      <c r="R77" s="38" t="s">
        <v>146</v>
      </c>
    </row>
    <row r="78" spans="1:18" x14ac:dyDescent="0.25">
      <c r="A78" s="14">
        <v>72</v>
      </c>
      <c r="B78" s="3" t="s">
        <v>156</v>
      </c>
      <c r="C78" s="21">
        <v>0</v>
      </c>
      <c r="D78" s="21">
        <v>0</v>
      </c>
      <c r="E78" s="21">
        <v>0</v>
      </c>
      <c r="F78" s="21">
        <v>845.2</v>
      </c>
      <c r="G78" s="21">
        <v>211.50004000000001</v>
      </c>
      <c r="H78" s="21">
        <f>((F78-G78)/F78)*100</f>
        <v>74.976332229058201</v>
      </c>
      <c r="I78" s="21">
        <v>1532.7594200000001</v>
      </c>
      <c r="J78" s="21">
        <v>86.709419999999994</v>
      </c>
      <c r="K78" s="21">
        <v>94.342920430396063</v>
      </c>
      <c r="L78" s="39" t="s">
        <v>146</v>
      </c>
      <c r="M78" s="38" t="s">
        <v>146</v>
      </c>
      <c r="N78" s="38" t="s">
        <v>146</v>
      </c>
      <c r="O78" s="38" t="s">
        <v>146</v>
      </c>
      <c r="P78" s="38" t="s">
        <v>146</v>
      </c>
      <c r="Q78" s="38" t="s">
        <v>146</v>
      </c>
      <c r="R78" s="38" t="s">
        <v>146</v>
      </c>
    </row>
    <row r="79" spans="1:18" x14ac:dyDescent="0.25">
      <c r="A79" s="10"/>
      <c r="B79" s="7" t="s">
        <v>131</v>
      </c>
      <c r="C79" s="82">
        <f>SUM(C7:C78)</f>
        <v>1317658.9090599995</v>
      </c>
      <c r="D79" s="82">
        <f>SUM(D7:D78)</f>
        <v>717672.30953000009</v>
      </c>
      <c r="E79" s="83">
        <f>((C79-D79)/C79)*100</f>
        <v>45.534287773914258</v>
      </c>
      <c r="F79" s="82">
        <f>SUM(F7:F78)</f>
        <v>318204.41317000007</v>
      </c>
      <c r="G79" s="82">
        <f>SUM(G7:G78)</f>
        <v>82084.637450000009</v>
      </c>
      <c r="H79" s="84">
        <f>((F79-G79)/F79)*100</f>
        <v>74.203802947840813</v>
      </c>
      <c r="I79" s="85">
        <f>SUM(I7:I78)</f>
        <v>18937.934689999998</v>
      </c>
      <c r="J79" s="85">
        <f>SUM(J7:J78)</f>
        <v>7717.3553899999988</v>
      </c>
      <c r="K79" s="84">
        <f>((I79-J79)/I79)*100</f>
        <v>59.249223759995971</v>
      </c>
      <c r="L79" s="82">
        <f>SUM(L7:L72)</f>
        <v>124211.20000000003</v>
      </c>
      <c r="M79" s="82">
        <f>SUM(M7:M72)</f>
        <v>3553.44</v>
      </c>
      <c r="N79" s="82">
        <f>SUM(N73:N78)</f>
        <v>160.4</v>
      </c>
      <c r="O79" s="82">
        <f>SUM(O73:O78)</f>
        <v>0</v>
      </c>
      <c r="P79" s="82">
        <f>SUM(P73:P78)</f>
        <v>23.942640000000001</v>
      </c>
      <c r="Q79" s="82">
        <f>SUM(Q73:Q78)</f>
        <v>0</v>
      </c>
      <c r="R79" s="82">
        <f>SUM(R73:R78)</f>
        <v>23.942640000000001</v>
      </c>
    </row>
  </sheetData>
  <mergeCells count="10">
    <mergeCell ref="A5:A6"/>
    <mergeCell ref="B5:B6"/>
    <mergeCell ref="C5:E5"/>
    <mergeCell ref="F5:H5"/>
    <mergeCell ref="I5:K5"/>
    <mergeCell ref="L5:L6"/>
    <mergeCell ref="M5:N5"/>
    <mergeCell ref="O5:O6"/>
    <mergeCell ref="P5:R5"/>
    <mergeCell ref="D2:J2"/>
  </mergeCells>
  <pageMargins left="0.23622047244094491" right="0.23622047244094491" top="0.74803149606299213" bottom="0.74803149606299213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zoomScale="85" zoomScaleNormal="85" workbookViewId="0">
      <pane xSplit="2" ySplit="6" topLeftCell="C73" activePane="bottomRight" state="frozen"/>
      <selection pane="topRight" activeCell="C1" sqref="C1"/>
      <selection pane="bottomLeft" activeCell="A7" sqref="A7"/>
      <selection pane="bottomRight" activeCell="H74" sqref="H74"/>
    </sheetView>
  </sheetViews>
  <sheetFormatPr defaultColWidth="9.140625" defaultRowHeight="15" x14ac:dyDescent="0.25"/>
  <cols>
    <col min="1" max="1" width="3.140625" style="8" customWidth="1"/>
    <col min="2" max="2" width="41.7109375" style="8" customWidth="1"/>
    <col min="3" max="3" width="12.140625" style="8" bestFit="1" customWidth="1"/>
    <col min="4" max="4" width="14.85546875" style="8" customWidth="1"/>
    <col min="5" max="5" width="16.7109375" style="8" customWidth="1"/>
    <col min="6" max="6" width="13.28515625" style="8" customWidth="1"/>
    <col min="7" max="7" width="16.42578125" style="8" customWidth="1"/>
    <col min="8" max="8" width="15" style="8" customWidth="1"/>
    <col min="9" max="10" width="14.42578125" style="8" customWidth="1"/>
    <col min="11" max="11" width="14.7109375" style="8" customWidth="1"/>
    <col min="12" max="12" width="13.7109375" style="8" customWidth="1"/>
    <col min="13" max="16384" width="9.140625" style="8"/>
  </cols>
  <sheetData>
    <row r="1" spans="1:12" ht="15.75" x14ac:dyDescent="0.25">
      <c r="L1" s="28" t="s">
        <v>141</v>
      </c>
    </row>
    <row r="2" spans="1:12" ht="39.75" customHeight="1" x14ac:dyDescent="0.25">
      <c r="D2" s="101" t="s">
        <v>149</v>
      </c>
      <c r="E2" s="101"/>
      <c r="F2" s="101"/>
      <c r="G2" s="101"/>
      <c r="H2" s="101"/>
      <c r="I2" s="101"/>
    </row>
    <row r="5" spans="1:12" x14ac:dyDescent="0.25">
      <c r="A5" s="138" t="s">
        <v>80</v>
      </c>
      <c r="B5" s="138" t="s">
        <v>88</v>
      </c>
      <c r="C5" s="138" t="s">
        <v>115</v>
      </c>
      <c r="D5" s="138"/>
      <c r="E5" s="138"/>
      <c r="F5" s="138" t="s">
        <v>116</v>
      </c>
      <c r="G5" s="138"/>
      <c r="H5" s="138"/>
      <c r="I5" s="138"/>
      <c r="J5" s="138" t="s">
        <v>117</v>
      </c>
      <c r="K5" s="138"/>
      <c r="L5" s="138"/>
    </row>
    <row r="6" spans="1:12" ht="63.75" x14ac:dyDescent="0.25">
      <c r="A6" s="138"/>
      <c r="B6" s="138"/>
      <c r="C6" s="1" t="s">
        <v>118</v>
      </c>
      <c r="D6" s="1" t="s">
        <v>119</v>
      </c>
      <c r="E6" s="1" t="s">
        <v>120</v>
      </c>
      <c r="F6" s="1" t="s">
        <v>118</v>
      </c>
      <c r="G6" s="1" t="s">
        <v>121</v>
      </c>
      <c r="H6" s="1" t="s">
        <v>122</v>
      </c>
      <c r="I6" s="1" t="s">
        <v>120</v>
      </c>
      <c r="J6" s="1" t="s">
        <v>123</v>
      </c>
      <c r="K6" s="1" t="s">
        <v>120</v>
      </c>
      <c r="L6" s="1" t="s">
        <v>0</v>
      </c>
    </row>
    <row r="7" spans="1:12" ht="25.5" x14ac:dyDescent="0.25">
      <c r="A7" s="14">
        <v>1</v>
      </c>
      <c r="B7" s="20" t="s">
        <v>14</v>
      </c>
      <c r="C7" s="74">
        <v>0</v>
      </c>
      <c r="D7" s="74">
        <v>0</v>
      </c>
      <c r="E7" s="75">
        <v>0</v>
      </c>
      <c r="F7" s="22">
        <f>SUM(G7:I7)</f>
        <v>0</v>
      </c>
      <c r="G7" s="76">
        <v>0</v>
      </c>
      <c r="H7" s="76">
        <v>0</v>
      </c>
      <c r="I7" s="76">
        <v>0</v>
      </c>
      <c r="J7" s="74">
        <v>520.46677</v>
      </c>
      <c r="K7" s="74">
        <v>0</v>
      </c>
      <c r="L7" s="74">
        <f>SUM(J7:K7)</f>
        <v>520.46677</v>
      </c>
    </row>
    <row r="8" spans="1:12" ht="25.5" x14ac:dyDescent="0.25">
      <c r="A8" s="14">
        <v>2</v>
      </c>
      <c r="B8" s="20" t="s">
        <v>15</v>
      </c>
      <c r="C8" s="74">
        <v>195</v>
      </c>
      <c r="D8" s="74">
        <v>195</v>
      </c>
      <c r="E8" s="75">
        <v>0</v>
      </c>
      <c r="F8" s="22">
        <f t="shared" ref="F8:F68" si="0">SUM(G8:I8)</f>
        <v>0</v>
      </c>
      <c r="G8" s="76">
        <v>0</v>
      </c>
      <c r="H8" s="76">
        <v>0</v>
      </c>
      <c r="I8" s="76">
        <v>0</v>
      </c>
      <c r="J8" s="74">
        <v>454.28490000000005</v>
      </c>
      <c r="K8" s="74">
        <v>15</v>
      </c>
      <c r="L8" s="74">
        <f t="shared" ref="L8:L68" si="1">SUM(J8:K8)</f>
        <v>469.28490000000005</v>
      </c>
    </row>
    <row r="9" spans="1:12" ht="25.5" x14ac:dyDescent="0.25">
      <c r="A9" s="14">
        <v>3</v>
      </c>
      <c r="B9" s="20" t="s">
        <v>16</v>
      </c>
      <c r="C9" s="74">
        <f t="shared" ref="C9:C68" si="2">SUM(D9:E9)</f>
        <v>3694.5</v>
      </c>
      <c r="D9" s="74">
        <v>3694.5</v>
      </c>
      <c r="E9" s="75">
        <v>0</v>
      </c>
      <c r="F9" s="22">
        <f t="shared" si="0"/>
        <v>0</v>
      </c>
      <c r="G9" s="76">
        <v>0</v>
      </c>
      <c r="H9" s="76">
        <v>0</v>
      </c>
      <c r="I9" s="76">
        <v>0</v>
      </c>
      <c r="J9" s="74">
        <v>974.32468000000006</v>
      </c>
      <c r="K9" s="74">
        <v>80</v>
      </c>
      <c r="L9" s="74">
        <f t="shared" si="1"/>
        <v>1054.3246800000002</v>
      </c>
    </row>
    <row r="10" spans="1:12" ht="25.5" x14ac:dyDescent="0.25">
      <c r="A10" s="14">
        <v>4</v>
      </c>
      <c r="B10" s="20" t="s">
        <v>17</v>
      </c>
      <c r="C10" s="74">
        <f t="shared" si="2"/>
        <v>0</v>
      </c>
      <c r="D10" s="74">
        <v>0</v>
      </c>
      <c r="E10" s="75">
        <v>0</v>
      </c>
      <c r="F10" s="22">
        <f t="shared" si="0"/>
        <v>0</v>
      </c>
      <c r="G10" s="76">
        <v>0</v>
      </c>
      <c r="H10" s="76">
        <v>0</v>
      </c>
      <c r="I10" s="76">
        <v>0</v>
      </c>
      <c r="J10" s="74">
        <v>252.41300000000001</v>
      </c>
      <c r="K10" s="74">
        <v>56.047800000000002</v>
      </c>
      <c r="L10" s="74">
        <f t="shared" si="1"/>
        <v>308.46080000000001</v>
      </c>
    </row>
    <row r="11" spans="1:12" ht="25.5" x14ac:dyDescent="0.25">
      <c r="A11" s="14">
        <v>5</v>
      </c>
      <c r="B11" s="20" t="s">
        <v>18</v>
      </c>
      <c r="C11" s="74">
        <f t="shared" si="2"/>
        <v>11041.2</v>
      </c>
      <c r="D11" s="74">
        <v>11041.2</v>
      </c>
      <c r="E11" s="75">
        <v>0</v>
      </c>
      <c r="F11" s="22">
        <f t="shared" si="0"/>
        <v>0</v>
      </c>
      <c r="G11" s="76">
        <v>0</v>
      </c>
      <c r="H11" s="76">
        <v>0</v>
      </c>
      <c r="I11" s="76">
        <v>0</v>
      </c>
      <c r="J11" s="74">
        <v>1591.4642699999999</v>
      </c>
      <c r="K11" s="74">
        <v>0</v>
      </c>
      <c r="L11" s="74">
        <f t="shared" si="1"/>
        <v>1591.4642699999999</v>
      </c>
    </row>
    <row r="12" spans="1:12" ht="25.5" x14ac:dyDescent="0.25">
      <c r="A12" s="14">
        <v>6</v>
      </c>
      <c r="B12" s="20" t="s">
        <v>19</v>
      </c>
      <c r="C12" s="77">
        <f t="shared" si="2"/>
        <v>0</v>
      </c>
      <c r="D12" s="74">
        <v>0</v>
      </c>
      <c r="E12" s="75">
        <v>0</v>
      </c>
      <c r="F12" s="22">
        <f t="shared" si="0"/>
        <v>0</v>
      </c>
      <c r="G12" s="76">
        <v>0</v>
      </c>
      <c r="H12" s="76">
        <v>0</v>
      </c>
      <c r="I12" s="76">
        <v>0</v>
      </c>
      <c r="J12" s="74">
        <v>3078.77997</v>
      </c>
      <c r="K12" s="74">
        <v>0</v>
      </c>
      <c r="L12" s="74">
        <f t="shared" si="1"/>
        <v>3078.77997</v>
      </c>
    </row>
    <row r="13" spans="1:12" x14ac:dyDescent="0.25">
      <c r="A13" s="14">
        <v>7</v>
      </c>
      <c r="B13" s="20" t="s">
        <v>20</v>
      </c>
      <c r="C13" s="77">
        <f t="shared" si="2"/>
        <v>0</v>
      </c>
      <c r="D13" s="77">
        <v>0</v>
      </c>
      <c r="E13" s="75">
        <v>0</v>
      </c>
      <c r="F13" s="22">
        <f t="shared" si="0"/>
        <v>0</v>
      </c>
      <c r="G13" s="76">
        <v>0</v>
      </c>
      <c r="H13" s="76">
        <v>0</v>
      </c>
      <c r="I13" s="76">
        <v>0</v>
      </c>
      <c r="J13" s="74">
        <v>1684.5896699999998</v>
      </c>
      <c r="K13" s="74">
        <v>0</v>
      </c>
      <c r="L13" s="74">
        <f t="shared" si="1"/>
        <v>1684.5896699999998</v>
      </c>
    </row>
    <row r="14" spans="1:12" x14ac:dyDescent="0.25">
      <c r="A14" s="14">
        <v>8</v>
      </c>
      <c r="B14" s="20" t="s">
        <v>21</v>
      </c>
      <c r="C14" s="77">
        <f t="shared" si="2"/>
        <v>0</v>
      </c>
      <c r="D14" s="77">
        <v>0</v>
      </c>
      <c r="E14" s="75">
        <v>0</v>
      </c>
      <c r="F14" s="22">
        <f t="shared" si="0"/>
        <v>0</v>
      </c>
      <c r="G14" s="76">
        <v>0</v>
      </c>
      <c r="H14" s="76">
        <v>0</v>
      </c>
      <c r="I14" s="76">
        <v>0</v>
      </c>
      <c r="J14" s="74">
        <v>2683.2899600000001</v>
      </c>
      <c r="K14" s="74">
        <v>0</v>
      </c>
      <c r="L14" s="74">
        <f t="shared" si="1"/>
        <v>2683.2899600000001</v>
      </c>
    </row>
    <row r="15" spans="1:12" ht="17.25" customHeight="1" x14ac:dyDescent="0.25">
      <c r="A15" s="14">
        <v>9</v>
      </c>
      <c r="B15" s="20" t="s">
        <v>22</v>
      </c>
      <c r="C15" s="74">
        <f t="shared" si="2"/>
        <v>0</v>
      </c>
      <c r="D15" s="74">
        <v>0</v>
      </c>
      <c r="E15" s="75">
        <v>0</v>
      </c>
      <c r="F15" s="22">
        <f t="shared" si="0"/>
        <v>0</v>
      </c>
      <c r="G15" s="76">
        <v>0</v>
      </c>
      <c r="H15" s="76">
        <v>0</v>
      </c>
      <c r="I15" s="76">
        <v>0</v>
      </c>
      <c r="J15" s="74">
        <v>1234.3282400000001</v>
      </c>
      <c r="K15" s="74">
        <v>0</v>
      </c>
      <c r="L15" s="74">
        <f t="shared" si="1"/>
        <v>1234.3282400000001</v>
      </c>
    </row>
    <row r="16" spans="1:12" x14ac:dyDescent="0.25">
      <c r="A16" s="14">
        <v>10</v>
      </c>
      <c r="B16" s="20" t="s">
        <v>23</v>
      </c>
      <c r="C16" s="74">
        <f t="shared" si="2"/>
        <v>0</v>
      </c>
      <c r="D16" s="74">
        <v>0</v>
      </c>
      <c r="E16" s="75">
        <v>0</v>
      </c>
      <c r="F16" s="22">
        <f t="shared" si="0"/>
        <v>0</v>
      </c>
      <c r="G16" s="76">
        <v>0</v>
      </c>
      <c r="H16" s="76">
        <v>0</v>
      </c>
      <c r="I16" s="76">
        <v>0</v>
      </c>
      <c r="J16" s="74">
        <v>596.83341000000007</v>
      </c>
      <c r="K16" s="74">
        <v>0</v>
      </c>
      <c r="L16" s="74">
        <f t="shared" si="1"/>
        <v>596.83341000000007</v>
      </c>
    </row>
    <row r="17" spans="1:12" x14ac:dyDescent="0.25">
      <c r="A17" s="14">
        <v>11</v>
      </c>
      <c r="B17" s="20" t="s">
        <v>24</v>
      </c>
      <c r="C17" s="77">
        <f t="shared" si="2"/>
        <v>8450</v>
      </c>
      <c r="D17" s="74">
        <v>8450</v>
      </c>
      <c r="E17" s="75">
        <v>0</v>
      </c>
      <c r="F17" s="22">
        <f t="shared" si="0"/>
        <v>0</v>
      </c>
      <c r="G17" s="76">
        <v>0</v>
      </c>
      <c r="H17" s="76">
        <v>0</v>
      </c>
      <c r="I17" s="76">
        <v>0</v>
      </c>
      <c r="J17" s="74">
        <v>2546.5829100000001</v>
      </c>
      <c r="K17" s="74">
        <v>0</v>
      </c>
      <c r="L17" s="74">
        <f t="shared" si="1"/>
        <v>2546.5829100000001</v>
      </c>
    </row>
    <row r="18" spans="1:12" x14ac:dyDescent="0.25">
      <c r="A18" s="14">
        <v>12</v>
      </c>
      <c r="B18" s="20" t="s">
        <v>25</v>
      </c>
      <c r="C18" s="74">
        <f t="shared" si="2"/>
        <v>250</v>
      </c>
      <c r="D18" s="74">
        <v>250</v>
      </c>
      <c r="E18" s="75">
        <v>0</v>
      </c>
      <c r="F18" s="22">
        <f t="shared" si="0"/>
        <v>0</v>
      </c>
      <c r="G18" s="76">
        <v>0</v>
      </c>
      <c r="H18" s="76">
        <v>0</v>
      </c>
      <c r="I18" s="76">
        <v>0</v>
      </c>
      <c r="J18" s="74">
        <v>1708.98498</v>
      </c>
      <c r="K18" s="74">
        <v>0</v>
      </c>
      <c r="L18" s="74">
        <f t="shared" si="1"/>
        <v>1708.98498</v>
      </c>
    </row>
    <row r="19" spans="1:12" x14ac:dyDescent="0.25">
      <c r="A19" s="14">
        <v>13</v>
      </c>
      <c r="B19" s="20" t="s">
        <v>26</v>
      </c>
      <c r="C19" s="74">
        <f t="shared" si="2"/>
        <v>593.99400000000003</v>
      </c>
      <c r="D19" s="74">
        <v>593.99400000000003</v>
      </c>
      <c r="E19" s="75">
        <v>0</v>
      </c>
      <c r="F19" s="22">
        <v>0</v>
      </c>
      <c r="G19" s="76">
        <v>0</v>
      </c>
      <c r="H19" s="76">
        <v>0</v>
      </c>
      <c r="I19" s="76">
        <v>0</v>
      </c>
      <c r="J19" s="74">
        <v>4785.47811</v>
      </c>
      <c r="K19" s="74">
        <v>0</v>
      </c>
      <c r="L19" s="74">
        <f t="shared" si="1"/>
        <v>4785.47811</v>
      </c>
    </row>
    <row r="20" spans="1:12" ht="25.5" x14ac:dyDescent="0.25">
      <c r="A20" s="14">
        <v>14</v>
      </c>
      <c r="B20" s="20" t="s">
        <v>27</v>
      </c>
      <c r="C20" s="74">
        <f t="shared" si="2"/>
        <v>20</v>
      </c>
      <c r="D20" s="74">
        <v>20</v>
      </c>
      <c r="E20" s="75">
        <v>0</v>
      </c>
      <c r="F20" s="22">
        <f t="shared" si="0"/>
        <v>214</v>
      </c>
      <c r="G20" s="76">
        <v>0</v>
      </c>
      <c r="H20" s="76">
        <v>214</v>
      </c>
      <c r="I20" s="76">
        <v>0</v>
      </c>
      <c r="J20" s="74">
        <v>1868.8289499999998</v>
      </c>
      <c r="K20" s="74">
        <v>53.940330000000003</v>
      </c>
      <c r="L20" s="74">
        <f t="shared" si="1"/>
        <v>1922.7692799999998</v>
      </c>
    </row>
    <row r="21" spans="1:12" ht="25.5" x14ac:dyDescent="0.25">
      <c r="A21" s="14">
        <v>15</v>
      </c>
      <c r="B21" s="20" t="s">
        <v>28</v>
      </c>
      <c r="C21" s="74">
        <f t="shared" si="2"/>
        <v>0</v>
      </c>
      <c r="D21" s="74">
        <v>0</v>
      </c>
      <c r="E21" s="75">
        <v>0</v>
      </c>
      <c r="F21" s="22">
        <f t="shared" si="0"/>
        <v>0</v>
      </c>
      <c r="G21" s="76">
        <v>0</v>
      </c>
      <c r="H21" s="76">
        <v>0</v>
      </c>
      <c r="I21" s="76">
        <v>0</v>
      </c>
      <c r="J21" s="74">
        <v>1736.9007799999999</v>
      </c>
      <c r="K21" s="74">
        <v>0</v>
      </c>
      <c r="L21" s="74">
        <f t="shared" si="1"/>
        <v>1736.9007799999999</v>
      </c>
    </row>
    <row r="22" spans="1:12" ht="25.5" x14ac:dyDescent="0.25">
      <c r="A22" s="14">
        <v>16</v>
      </c>
      <c r="B22" s="20" t="s">
        <v>29</v>
      </c>
      <c r="C22" s="74">
        <f t="shared" si="2"/>
        <v>0</v>
      </c>
      <c r="D22" s="74">
        <v>0</v>
      </c>
      <c r="E22" s="75">
        <v>0</v>
      </c>
      <c r="F22" s="22">
        <f t="shared" si="0"/>
        <v>0</v>
      </c>
      <c r="G22" s="76">
        <v>0</v>
      </c>
      <c r="H22" s="76">
        <v>0</v>
      </c>
      <c r="I22" s="76">
        <v>0</v>
      </c>
      <c r="J22" s="74">
        <v>1257.02206</v>
      </c>
      <c r="K22" s="74">
        <v>0</v>
      </c>
      <c r="L22" s="74">
        <f t="shared" si="1"/>
        <v>1257.02206</v>
      </c>
    </row>
    <row r="23" spans="1:12" x14ac:dyDescent="0.25">
      <c r="A23" s="14">
        <v>17</v>
      </c>
      <c r="B23" s="20" t="s">
        <v>30</v>
      </c>
      <c r="C23" s="74">
        <f t="shared" si="2"/>
        <v>9221</v>
      </c>
      <c r="D23" s="74">
        <v>9221</v>
      </c>
      <c r="E23" s="75">
        <v>0</v>
      </c>
      <c r="F23" s="22">
        <f t="shared" si="0"/>
        <v>6</v>
      </c>
      <c r="G23" s="76">
        <v>0</v>
      </c>
      <c r="H23" s="76">
        <v>6</v>
      </c>
      <c r="I23" s="76">
        <v>0</v>
      </c>
      <c r="J23" s="74">
        <v>703.80867000000001</v>
      </c>
      <c r="K23" s="74">
        <v>0</v>
      </c>
      <c r="L23" s="74">
        <f t="shared" si="1"/>
        <v>703.80867000000001</v>
      </c>
    </row>
    <row r="24" spans="1:12" ht="25.5" x14ac:dyDescent="0.25">
      <c r="A24" s="14">
        <v>18</v>
      </c>
      <c r="B24" s="20" t="s">
        <v>31</v>
      </c>
      <c r="C24" s="77">
        <f t="shared" si="2"/>
        <v>8800</v>
      </c>
      <c r="D24" s="74">
        <v>8800</v>
      </c>
      <c r="E24" s="75">
        <v>0</v>
      </c>
      <c r="F24" s="22"/>
      <c r="G24" s="76">
        <v>0</v>
      </c>
      <c r="H24" s="76">
        <v>0</v>
      </c>
      <c r="I24" s="76">
        <v>0</v>
      </c>
      <c r="J24" s="74">
        <v>1541.6565600000001</v>
      </c>
      <c r="K24" s="74">
        <v>0</v>
      </c>
      <c r="L24" s="74">
        <f t="shared" si="1"/>
        <v>1541.6565600000001</v>
      </c>
    </row>
    <row r="25" spans="1:12" ht="25.5" x14ac:dyDescent="0.25">
      <c r="A25" s="14">
        <v>19</v>
      </c>
      <c r="B25" s="20" t="s">
        <v>32</v>
      </c>
      <c r="C25" s="74">
        <v>0</v>
      </c>
      <c r="D25" s="74">
        <v>0</v>
      </c>
      <c r="E25" s="75">
        <v>0</v>
      </c>
      <c r="F25" s="22">
        <v>0</v>
      </c>
      <c r="G25" s="76">
        <v>0</v>
      </c>
      <c r="H25" s="76">
        <v>0</v>
      </c>
      <c r="I25" s="76">
        <v>0</v>
      </c>
      <c r="J25" s="74">
        <v>1307.21883</v>
      </c>
      <c r="K25" s="74">
        <v>0</v>
      </c>
      <c r="L25" s="74">
        <f t="shared" si="1"/>
        <v>1307.21883</v>
      </c>
    </row>
    <row r="26" spans="1:12" x14ac:dyDescent="0.25">
      <c r="A26" s="14">
        <v>20</v>
      </c>
      <c r="B26" s="20" t="s">
        <v>33</v>
      </c>
      <c r="C26" s="74">
        <f t="shared" si="2"/>
        <v>0</v>
      </c>
      <c r="D26" s="74">
        <v>0</v>
      </c>
      <c r="E26" s="75">
        <v>0</v>
      </c>
      <c r="F26" s="22">
        <f t="shared" si="0"/>
        <v>0</v>
      </c>
      <c r="G26" s="76">
        <v>0</v>
      </c>
      <c r="H26" s="76">
        <v>0</v>
      </c>
      <c r="I26" s="76">
        <v>0</v>
      </c>
      <c r="J26" s="74">
        <v>554.92418000000009</v>
      </c>
      <c r="K26" s="74">
        <v>0</v>
      </c>
      <c r="L26" s="74">
        <f t="shared" si="1"/>
        <v>554.92418000000009</v>
      </c>
    </row>
    <row r="27" spans="1:12" ht="25.5" x14ac:dyDescent="0.25">
      <c r="A27" s="14">
        <v>21</v>
      </c>
      <c r="B27" s="20" t="s">
        <v>34</v>
      </c>
      <c r="C27" s="74">
        <f t="shared" si="2"/>
        <v>0</v>
      </c>
      <c r="D27" s="74">
        <v>0</v>
      </c>
      <c r="E27" s="75">
        <v>0</v>
      </c>
      <c r="F27" s="22">
        <f t="shared" si="0"/>
        <v>0</v>
      </c>
      <c r="G27" s="76">
        <v>0</v>
      </c>
      <c r="H27" s="76">
        <v>0</v>
      </c>
      <c r="I27" s="76">
        <v>0</v>
      </c>
      <c r="J27" s="74">
        <v>7464.3705000000009</v>
      </c>
      <c r="K27" s="74">
        <v>0</v>
      </c>
      <c r="L27" s="74">
        <f t="shared" si="1"/>
        <v>7464.3705000000009</v>
      </c>
    </row>
    <row r="28" spans="1:12" x14ac:dyDescent="0.25">
      <c r="A28" s="14">
        <v>22</v>
      </c>
      <c r="B28" s="20" t="s">
        <v>35</v>
      </c>
      <c r="C28" s="74">
        <f t="shared" si="2"/>
        <v>6090</v>
      </c>
      <c r="D28" s="74">
        <v>6090</v>
      </c>
      <c r="E28" s="75">
        <v>0</v>
      </c>
      <c r="F28" s="22">
        <f t="shared" si="0"/>
        <v>6</v>
      </c>
      <c r="G28" s="76">
        <v>0</v>
      </c>
      <c r="H28" s="76">
        <v>6</v>
      </c>
      <c r="I28" s="76">
        <v>0</v>
      </c>
      <c r="J28" s="74">
        <v>631.40228999999999</v>
      </c>
      <c r="K28" s="74">
        <v>0</v>
      </c>
      <c r="L28" s="74">
        <f t="shared" si="1"/>
        <v>631.40228999999999</v>
      </c>
    </row>
    <row r="29" spans="1:12" x14ac:dyDescent="0.25">
      <c r="A29" s="14">
        <v>23</v>
      </c>
      <c r="B29" s="20" t="s">
        <v>36</v>
      </c>
      <c r="C29" s="74">
        <f t="shared" si="2"/>
        <v>12260</v>
      </c>
      <c r="D29" s="74">
        <v>12260</v>
      </c>
      <c r="E29" s="75">
        <v>0</v>
      </c>
      <c r="F29" s="22">
        <f t="shared" si="0"/>
        <v>0</v>
      </c>
      <c r="G29" s="76">
        <v>0</v>
      </c>
      <c r="H29" s="76">
        <v>0</v>
      </c>
      <c r="I29" s="76">
        <v>0</v>
      </c>
      <c r="J29" s="74">
        <v>2093.3171899999998</v>
      </c>
      <c r="K29" s="74">
        <v>0</v>
      </c>
      <c r="L29" s="74">
        <f t="shared" si="1"/>
        <v>2093.3171899999998</v>
      </c>
    </row>
    <row r="30" spans="1:12" ht="25.5" x14ac:dyDescent="0.25">
      <c r="A30" s="14">
        <v>24</v>
      </c>
      <c r="B30" s="20" t="s">
        <v>37</v>
      </c>
      <c r="C30" s="74">
        <f t="shared" si="2"/>
        <v>0</v>
      </c>
      <c r="D30" s="74">
        <v>0</v>
      </c>
      <c r="E30" s="75">
        <v>0</v>
      </c>
      <c r="F30" s="22">
        <f t="shared" si="0"/>
        <v>0</v>
      </c>
      <c r="G30" s="76">
        <v>0</v>
      </c>
      <c r="H30" s="76">
        <v>0</v>
      </c>
      <c r="I30" s="76">
        <v>0</v>
      </c>
      <c r="J30" s="74">
        <v>508.44515999999999</v>
      </c>
      <c r="K30" s="74">
        <v>0</v>
      </c>
      <c r="L30" s="74">
        <f t="shared" si="1"/>
        <v>508.44515999999999</v>
      </c>
    </row>
    <row r="31" spans="1:12" ht="25.5" x14ac:dyDescent="0.25">
      <c r="A31" s="14">
        <v>25</v>
      </c>
      <c r="B31" s="20" t="s">
        <v>38</v>
      </c>
      <c r="C31" s="74">
        <f t="shared" si="2"/>
        <v>13677.5</v>
      </c>
      <c r="D31" s="74">
        <v>13677.5</v>
      </c>
      <c r="E31" s="75">
        <v>0</v>
      </c>
      <c r="F31" s="22">
        <f t="shared" si="0"/>
        <v>0</v>
      </c>
      <c r="G31" s="76">
        <v>0</v>
      </c>
      <c r="H31" s="76">
        <v>0</v>
      </c>
      <c r="I31" s="76">
        <v>0</v>
      </c>
      <c r="J31" s="74">
        <v>1102.72235</v>
      </c>
      <c r="K31" s="74">
        <v>0</v>
      </c>
      <c r="L31" s="74">
        <f t="shared" si="1"/>
        <v>1102.72235</v>
      </c>
    </row>
    <row r="32" spans="1:12" ht="25.5" x14ac:dyDescent="0.25">
      <c r="A32" s="14">
        <v>26</v>
      </c>
      <c r="B32" s="20" t="s">
        <v>39</v>
      </c>
      <c r="C32" s="74">
        <f t="shared" si="2"/>
        <v>880.95057999999995</v>
      </c>
      <c r="D32" s="74">
        <v>880.95057999999995</v>
      </c>
      <c r="E32" s="75">
        <v>0</v>
      </c>
      <c r="F32" s="22">
        <f t="shared" si="0"/>
        <v>0</v>
      </c>
      <c r="G32" s="76">
        <v>0</v>
      </c>
      <c r="H32" s="76">
        <v>0</v>
      </c>
      <c r="I32" s="76">
        <v>0</v>
      </c>
      <c r="J32" s="74">
        <v>714.57349999999997</v>
      </c>
      <c r="K32" s="74">
        <v>0</v>
      </c>
      <c r="L32" s="74">
        <f t="shared" si="1"/>
        <v>714.57349999999997</v>
      </c>
    </row>
    <row r="33" spans="1:12" x14ac:dyDescent="0.25">
      <c r="A33" s="14">
        <v>27</v>
      </c>
      <c r="B33" s="20" t="s">
        <v>40</v>
      </c>
      <c r="C33" s="74">
        <f t="shared" si="2"/>
        <v>11445</v>
      </c>
      <c r="D33" s="74">
        <v>11445</v>
      </c>
      <c r="E33" s="75">
        <v>0</v>
      </c>
      <c r="F33" s="22">
        <v>0</v>
      </c>
      <c r="G33" s="76">
        <v>0</v>
      </c>
      <c r="H33" s="76">
        <v>0</v>
      </c>
      <c r="I33" s="76">
        <v>0</v>
      </c>
      <c r="J33" s="74">
        <v>1257.3664799999999</v>
      </c>
      <c r="K33" s="74">
        <v>0</v>
      </c>
      <c r="L33" s="74">
        <f t="shared" si="1"/>
        <v>1257.3664799999999</v>
      </c>
    </row>
    <row r="34" spans="1:12" ht="25.5" x14ac:dyDescent="0.25">
      <c r="A34" s="14">
        <v>28</v>
      </c>
      <c r="B34" s="20" t="s">
        <v>41</v>
      </c>
      <c r="C34" s="74">
        <f t="shared" si="2"/>
        <v>0</v>
      </c>
      <c r="D34" s="74">
        <v>0</v>
      </c>
      <c r="E34" s="75">
        <v>0</v>
      </c>
      <c r="F34" s="22">
        <f t="shared" si="0"/>
        <v>0</v>
      </c>
      <c r="G34" s="76">
        <v>0</v>
      </c>
      <c r="H34" s="76">
        <v>0</v>
      </c>
      <c r="I34" s="76">
        <v>0</v>
      </c>
      <c r="J34" s="74">
        <v>1832.26259</v>
      </c>
      <c r="K34" s="74">
        <v>0</v>
      </c>
      <c r="L34" s="74">
        <f t="shared" si="1"/>
        <v>1832.26259</v>
      </c>
    </row>
    <row r="35" spans="1:12" ht="25.5" x14ac:dyDescent="0.25">
      <c r="A35" s="14">
        <v>29</v>
      </c>
      <c r="B35" s="20" t="s">
        <v>42</v>
      </c>
      <c r="C35" s="74">
        <f t="shared" si="2"/>
        <v>0</v>
      </c>
      <c r="D35" s="74">
        <v>0</v>
      </c>
      <c r="E35" s="75">
        <v>0</v>
      </c>
      <c r="F35" s="22">
        <v>0</v>
      </c>
      <c r="G35" s="76">
        <v>0</v>
      </c>
      <c r="H35" s="76">
        <v>0</v>
      </c>
      <c r="I35" s="76">
        <v>0</v>
      </c>
      <c r="J35" s="74">
        <v>1242.6974599999999</v>
      </c>
      <c r="K35" s="74">
        <v>0</v>
      </c>
      <c r="L35" s="74">
        <f t="shared" si="1"/>
        <v>1242.6974599999999</v>
      </c>
    </row>
    <row r="36" spans="1:12" x14ac:dyDescent="0.25">
      <c r="A36" s="14">
        <v>30</v>
      </c>
      <c r="B36" s="20" t="s">
        <v>43</v>
      </c>
      <c r="C36" s="74">
        <f t="shared" si="2"/>
        <v>908</v>
      </c>
      <c r="D36" s="74">
        <v>908</v>
      </c>
      <c r="E36" s="75">
        <v>0</v>
      </c>
      <c r="F36" s="22">
        <f t="shared" si="0"/>
        <v>0</v>
      </c>
      <c r="G36" s="76">
        <v>0</v>
      </c>
      <c r="H36" s="76">
        <v>0</v>
      </c>
      <c r="I36" s="76">
        <v>0</v>
      </c>
      <c r="J36" s="74">
        <v>1249.35491</v>
      </c>
      <c r="K36" s="74">
        <v>0</v>
      </c>
      <c r="L36" s="74">
        <f t="shared" si="1"/>
        <v>1249.35491</v>
      </c>
    </row>
    <row r="37" spans="1:12" x14ac:dyDescent="0.25">
      <c r="A37" s="14">
        <v>31</v>
      </c>
      <c r="B37" s="20" t="s">
        <v>44</v>
      </c>
      <c r="C37" s="74">
        <f t="shared" si="2"/>
        <v>7761.2</v>
      </c>
      <c r="D37" s="74">
        <v>7761.2</v>
      </c>
      <c r="E37" s="75">
        <v>0</v>
      </c>
      <c r="F37" s="22">
        <f t="shared" si="0"/>
        <v>0</v>
      </c>
      <c r="G37" s="76">
        <v>0</v>
      </c>
      <c r="H37" s="76">
        <v>0</v>
      </c>
      <c r="I37" s="76">
        <v>0</v>
      </c>
      <c r="J37" s="74">
        <v>3779.17454</v>
      </c>
      <c r="K37" s="74">
        <v>0</v>
      </c>
      <c r="L37" s="74">
        <f t="shared" si="1"/>
        <v>3779.17454</v>
      </c>
    </row>
    <row r="38" spans="1:12" ht="25.5" x14ac:dyDescent="0.25">
      <c r="A38" s="14">
        <v>32</v>
      </c>
      <c r="B38" s="20" t="s">
        <v>45</v>
      </c>
      <c r="C38" s="74">
        <f t="shared" si="2"/>
        <v>100</v>
      </c>
      <c r="D38" s="74">
        <v>100</v>
      </c>
      <c r="E38" s="75">
        <v>0</v>
      </c>
      <c r="F38" s="22">
        <f t="shared" si="0"/>
        <v>0</v>
      </c>
      <c r="G38" s="76">
        <v>0</v>
      </c>
      <c r="H38" s="76">
        <v>0</v>
      </c>
      <c r="I38" s="76">
        <v>0</v>
      </c>
      <c r="J38" s="74">
        <v>1904.8658700000001</v>
      </c>
      <c r="K38" s="74">
        <v>0</v>
      </c>
      <c r="L38" s="74">
        <f t="shared" si="1"/>
        <v>1904.8658700000001</v>
      </c>
    </row>
    <row r="39" spans="1:12" ht="25.5" x14ac:dyDescent="0.25">
      <c r="A39" s="14">
        <v>33</v>
      </c>
      <c r="B39" s="20" t="s">
        <v>46</v>
      </c>
      <c r="C39" s="74">
        <f t="shared" si="2"/>
        <v>100</v>
      </c>
      <c r="D39" s="74">
        <v>100</v>
      </c>
      <c r="E39" s="75">
        <v>0</v>
      </c>
      <c r="F39" s="22">
        <f t="shared" si="0"/>
        <v>0</v>
      </c>
      <c r="G39" s="76">
        <v>0</v>
      </c>
      <c r="H39" s="76">
        <v>0</v>
      </c>
      <c r="I39" s="76">
        <v>0</v>
      </c>
      <c r="J39" s="74">
        <v>1584.63617</v>
      </c>
      <c r="K39" s="74">
        <v>0</v>
      </c>
      <c r="L39" s="74">
        <f t="shared" si="1"/>
        <v>1584.63617</v>
      </c>
    </row>
    <row r="40" spans="1:12" x14ac:dyDescent="0.25">
      <c r="A40" s="14">
        <v>34</v>
      </c>
      <c r="B40" s="20" t="s">
        <v>47</v>
      </c>
      <c r="C40" s="74">
        <f t="shared" si="2"/>
        <v>0</v>
      </c>
      <c r="D40" s="74">
        <v>0</v>
      </c>
      <c r="E40" s="75">
        <v>0</v>
      </c>
      <c r="F40" s="22">
        <f t="shared" si="0"/>
        <v>0</v>
      </c>
      <c r="G40" s="76">
        <v>0</v>
      </c>
      <c r="H40" s="76">
        <v>0</v>
      </c>
      <c r="I40" s="76">
        <v>0</v>
      </c>
      <c r="J40" s="74">
        <v>1529.92127</v>
      </c>
      <c r="K40" s="74">
        <v>0</v>
      </c>
      <c r="L40" s="74">
        <f t="shared" si="1"/>
        <v>1529.92127</v>
      </c>
    </row>
    <row r="41" spans="1:12" ht="25.5" x14ac:dyDescent="0.25">
      <c r="A41" s="14">
        <v>35</v>
      </c>
      <c r="B41" s="20" t="s">
        <v>48</v>
      </c>
      <c r="C41" s="77">
        <f t="shared" si="2"/>
        <v>0</v>
      </c>
      <c r="D41" s="74">
        <v>0</v>
      </c>
      <c r="E41" s="75">
        <v>0</v>
      </c>
      <c r="F41" s="22">
        <v>0</v>
      </c>
      <c r="G41" s="76">
        <v>0</v>
      </c>
      <c r="H41" s="76">
        <v>0</v>
      </c>
      <c r="I41" s="76">
        <v>0</v>
      </c>
      <c r="J41" s="74">
        <v>4387.0875700000006</v>
      </c>
      <c r="K41" s="74">
        <v>0</v>
      </c>
      <c r="L41" s="74">
        <f t="shared" si="1"/>
        <v>4387.0875700000006</v>
      </c>
    </row>
    <row r="42" spans="1:12" x14ac:dyDescent="0.25">
      <c r="A42" s="14">
        <v>36</v>
      </c>
      <c r="B42" s="20" t="s">
        <v>49</v>
      </c>
      <c r="C42" s="74">
        <f t="shared" si="2"/>
        <v>0</v>
      </c>
      <c r="D42" s="74">
        <v>0</v>
      </c>
      <c r="E42" s="75">
        <v>0</v>
      </c>
      <c r="F42" s="22">
        <f t="shared" si="0"/>
        <v>0</v>
      </c>
      <c r="G42" s="76">
        <v>0</v>
      </c>
      <c r="H42" s="76">
        <v>0</v>
      </c>
      <c r="I42" s="76">
        <v>0</v>
      </c>
      <c r="J42" s="74">
        <v>2120.6199200000001</v>
      </c>
      <c r="K42" s="74">
        <v>0</v>
      </c>
      <c r="L42" s="74">
        <f>SUM(J42:K42)</f>
        <v>2120.6199200000001</v>
      </c>
    </row>
    <row r="43" spans="1:12" x14ac:dyDescent="0.25">
      <c r="A43" s="14">
        <v>37</v>
      </c>
      <c r="B43" s="20" t="s">
        <v>50</v>
      </c>
      <c r="C43" s="74">
        <f t="shared" si="2"/>
        <v>0</v>
      </c>
      <c r="D43" s="74">
        <v>0</v>
      </c>
      <c r="E43" s="75">
        <v>0</v>
      </c>
      <c r="F43" s="22">
        <f t="shared" si="0"/>
        <v>0</v>
      </c>
      <c r="G43" s="76">
        <v>0</v>
      </c>
      <c r="H43" s="76">
        <v>0</v>
      </c>
      <c r="I43" s="76">
        <v>0</v>
      </c>
      <c r="J43" s="74">
        <v>8438.3950800000002</v>
      </c>
      <c r="K43" s="74">
        <v>0</v>
      </c>
      <c r="L43" s="74">
        <f t="shared" si="1"/>
        <v>8438.3950800000002</v>
      </c>
    </row>
    <row r="44" spans="1:12" x14ac:dyDescent="0.25">
      <c r="A44" s="14">
        <v>38</v>
      </c>
      <c r="B44" s="20" t="s">
        <v>51</v>
      </c>
      <c r="C44" s="77">
        <f t="shared" si="2"/>
        <v>0</v>
      </c>
      <c r="D44" s="74">
        <v>0</v>
      </c>
      <c r="E44" s="75">
        <v>0</v>
      </c>
      <c r="F44" s="22">
        <f t="shared" si="0"/>
        <v>0</v>
      </c>
      <c r="G44" s="76">
        <v>0</v>
      </c>
      <c r="H44" s="76">
        <v>0</v>
      </c>
      <c r="I44" s="76">
        <v>0</v>
      </c>
      <c r="J44" s="74">
        <v>4292.5112399999998</v>
      </c>
      <c r="K44" s="74">
        <v>0</v>
      </c>
      <c r="L44" s="74">
        <f t="shared" si="1"/>
        <v>4292.5112399999998</v>
      </c>
    </row>
    <row r="45" spans="1:12" x14ac:dyDescent="0.25">
      <c r="A45" s="14">
        <v>39</v>
      </c>
      <c r="B45" s="20" t="s">
        <v>52</v>
      </c>
      <c r="C45" s="77">
        <f t="shared" si="2"/>
        <v>1392</v>
      </c>
      <c r="D45" s="74">
        <v>1392</v>
      </c>
      <c r="E45" s="75">
        <v>0</v>
      </c>
      <c r="F45" s="22">
        <f t="shared" si="0"/>
        <v>0</v>
      </c>
      <c r="G45" s="76">
        <v>0</v>
      </c>
      <c r="H45" s="76">
        <v>0</v>
      </c>
      <c r="I45" s="76">
        <v>0</v>
      </c>
      <c r="J45" s="74">
        <v>5477.6056100000005</v>
      </c>
      <c r="K45" s="74">
        <v>0</v>
      </c>
      <c r="L45" s="74">
        <f t="shared" si="1"/>
        <v>5477.6056100000005</v>
      </c>
    </row>
    <row r="46" spans="1:12" x14ac:dyDescent="0.25">
      <c r="A46" s="14">
        <v>40</v>
      </c>
      <c r="B46" s="20" t="s">
        <v>53</v>
      </c>
      <c r="C46" s="74">
        <f t="shared" si="2"/>
        <v>0</v>
      </c>
      <c r="D46" s="74">
        <v>0</v>
      </c>
      <c r="E46" s="75">
        <v>0</v>
      </c>
      <c r="F46" s="22">
        <f t="shared" si="0"/>
        <v>0</v>
      </c>
      <c r="G46" s="76">
        <v>0</v>
      </c>
      <c r="H46" s="76">
        <v>0</v>
      </c>
      <c r="I46" s="76">
        <v>0</v>
      </c>
      <c r="J46" s="74">
        <v>3598.7034399999998</v>
      </c>
      <c r="K46" s="74">
        <v>0</v>
      </c>
      <c r="L46" s="74">
        <f t="shared" si="1"/>
        <v>3598.7034399999998</v>
      </c>
    </row>
    <row r="47" spans="1:12" x14ac:dyDescent="0.25">
      <c r="A47" s="14">
        <v>41</v>
      </c>
      <c r="B47" s="20" t="s">
        <v>54</v>
      </c>
      <c r="C47" s="74">
        <f t="shared" si="2"/>
        <v>0</v>
      </c>
      <c r="D47" s="74">
        <v>0</v>
      </c>
      <c r="E47" s="75">
        <v>0</v>
      </c>
      <c r="F47" s="22">
        <f t="shared" si="0"/>
        <v>0</v>
      </c>
      <c r="G47" s="76">
        <v>0</v>
      </c>
      <c r="H47" s="76">
        <v>0</v>
      </c>
      <c r="I47" s="76">
        <v>0</v>
      </c>
      <c r="J47" s="74">
        <v>2193.4756899999998</v>
      </c>
      <c r="K47" s="74">
        <v>0</v>
      </c>
      <c r="L47" s="74">
        <f t="shared" si="1"/>
        <v>2193.4756899999998</v>
      </c>
    </row>
    <row r="48" spans="1:12" x14ac:dyDescent="0.25">
      <c r="A48" s="14">
        <v>42</v>
      </c>
      <c r="B48" s="20" t="s">
        <v>55</v>
      </c>
      <c r="C48" s="77">
        <f t="shared" si="2"/>
        <v>125.71722</v>
      </c>
      <c r="D48" s="74">
        <v>125.71722</v>
      </c>
      <c r="E48" s="75">
        <v>0</v>
      </c>
      <c r="F48" s="22">
        <v>0</v>
      </c>
      <c r="G48" s="76">
        <v>0</v>
      </c>
      <c r="H48" s="76">
        <v>0</v>
      </c>
      <c r="I48" s="76">
        <v>0</v>
      </c>
      <c r="J48" s="74">
        <v>2716.6782000000003</v>
      </c>
      <c r="K48" s="74">
        <v>0</v>
      </c>
      <c r="L48" s="74">
        <f t="shared" si="1"/>
        <v>2716.6782000000003</v>
      </c>
    </row>
    <row r="49" spans="1:12" x14ac:dyDescent="0.25">
      <c r="A49" s="14">
        <v>43</v>
      </c>
      <c r="B49" s="20" t="s">
        <v>56</v>
      </c>
      <c r="C49" s="74">
        <f t="shared" si="2"/>
        <v>6717.4</v>
      </c>
      <c r="D49" s="74">
        <v>6717.4</v>
      </c>
      <c r="E49" s="75">
        <v>0</v>
      </c>
      <c r="F49" s="22">
        <f t="shared" si="0"/>
        <v>0</v>
      </c>
      <c r="G49" s="76">
        <v>0</v>
      </c>
      <c r="H49" s="76">
        <v>0</v>
      </c>
      <c r="I49" s="76">
        <v>0</v>
      </c>
      <c r="J49" s="74">
        <v>2507.9557999999997</v>
      </c>
      <c r="K49" s="74">
        <v>0</v>
      </c>
      <c r="L49" s="74">
        <f t="shared" si="1"/>
        <v>2507.9557999999997</v>
      </c>
    </row>
    <row r="50" spans="1:12" x14ac:dyDescent="0.25">
      <c r="A50" s="14">
        <v>44</v>
      </c>
      <c r="B50" s="20" t="s">
        <v>57</v>
      </c>
      <c r="C50" s="74">
        <f t="shared" si="2"/>
        <v>0</v>
      </c>
      <c r="D50" s="74">
        <v>0</v>
      </c>
      <c r="E50" s="75">
        <v>0</v>
      </c>
      <c r="F50" s="22">
        <f t="shared" si="0"/>
        <v>0</v>
      </c>
      <c r="G50" s="76">
        <v>0</v>
      </c>
      <c r="H50" s="76">
        <v>0</v>
      </c>
      <c r="I50" s="76">
        <v>0</v>
      </c>
      <c r="J50" s="74">
        <v>2665.0067599999998</v>
      </c>
      <c r="K50" s="74">
        <v>0</v>
      </c>
      <c r="L50" s="74">
        <f t="shared" si="1"/>
        <v>2665.0067599999998</v>
      </c>
    </row>
    <row r="51" spans="1:12" ht="25.5" x14ac:dyDescent="0.25">
      <c r="A51" s="14">
        <v>45</v>
      </c>
      <c r="B51" s="20" t="s">
        <v>58</v>
      </c>
      <c r="C51" s="77">
        <f t="shared" si="2"/>
        <v>0</v>
      </c>
      <c r="D51" s="74">
        <v>0</v>
      </c>
      <c r="E51" s="75">
        <v>0</v>
      </c>
      <c r="F51" s="22">
        <f t="shared" si="0"/>
        <v>0</v>
      </c>
      <c r="G51" s="76">
        <v>0</v>
      </c>
      <c r="H51" s="76">
        <v>0</v>
      </c>
      <c r="I51" s="76">
        <v>0</v>
      </c>
      <c r="J51" s="74">
        <v>1723.87301</v>
      </c>
      <c r="K51" s="74">
        <v>0</v>
      </c>
      <c r="L51" s="74">
        <f t="shared" si="1"/>
        <v>1723.87301</v>
      </c>
    </row>
    <row r="52" spans="1:12" x14ac:dyDescent="0.25">
      <c r="A52" s="14">
        <v>46</v>
      </c>
      <c r="B52" s="20" t="s">
        <v>59</v>
      </c>
      <c r="C52" s="74">
        <f t="shared" si="2"/>
        <v>688</v>
      </c>
      <c r="D52" s="74">
        <v>688</v>
      </c>
      <c r="E52" s="75">
        <v>0</v>
      </c>
      <c r="F52" s="22">
        <f t="shared" si="0"/>
        <v>0</v>
      </c>
      <c r="G52" s="76">
        <v>0</v>
      </c>
      <c r="H52" s="76">
        <v>0</v>
      </c>
      <c r="I52" s="76">
        <v>0</v>
      </c>
      <c r="J52" s="74">
        <v>1543.78549</v>
      </c>
      <c r="K52" s="74">
        <v>0</v>
      </c>
      <c r="L52" s="74">
        <f t="shared" si="1"/>
        <v>1543.78549</v>
      </c>
    </row>
    <row r="53" spans="1:12" x14ac:dyDescent="0.25">
      <c r="A53" s="14">
        <v>47</v>
      </c>
      <c r="B53" s="20" t="s">
        <v>60</v>
      </c>
      <c r="C53" s="74">
        <f t="shared" si="2"/>
        <v>0</v>
      </c>
      <c r="D53" s="74">
        <v>0</v>
      </c>
      <c r="E53" s="75">
        <v>0</v>
      </c>
      <c r="F53" s="22">
        <f t="shared" si="0"/>
        <v>0</v>
      </c>
      <c r="G53" s="76">
        <v>0</v>
      </c>
      <c r="H53" s="76">
        <v>0</v>
      </c>
      <c r="I53" s="76">
        <v>0</v>
      </c>
      <c r="J53" s="74">
        <v>915.84825999999998</v>
      </c>
      <c r="K53" s="74">
        <v>0</v>
      </c>
      <c r="L53" s="74">
        <f t="shared" si="1"/>
        <v>915.84825999999998</v>
      </c>
    </row>
    <row r="54" spans="1:12" ht="25.5" x14ac:dyDescent="0.25">
      <c r="A54" s="14">
        <v>48</v>
      </c>
      <c r="B54" s="20" t="s">
        <v>61</v>
      </c>
      <c r="C54" s="74">
        <f t="shared" si="2"/>
        <v>0</v>
      </c>
      <c r="D54" s="74">
        <v>0</v>
      </c>
      <c r="E54" s="75">
        <v>0</v>
      </c>
      <c r="F54" s="22">
        <f t="shared" si="0"/>
        <v>0</v>
      </c>
      <c r="G54" s="76">
        <v>0</v>
      </c>
      <c r="H54" s="76">
        <v>0</v>
      </c>
      <c r="I54" s="76">
        <v>0</v>
      </c>
      <c r="J54" s="74">
        <v>994.28616</v>
      </c>
      <c r="K54" s="74">
        <v>0</v>
      </c>
      <c r="L54" s="74">
        <f t="shared" si="1"/>
        <v>994.28616</v>
      </c>
    </row>
    <row r="55" spans="1:12" ht="25.5" x14ac:dyDescent="0.25">
      <c r="A55" s="14">
        <v>49</v>
      </c>
      <c r="B55" s="20" t="s">
        <v>62</v>
      </c>
      <c r="C55" s="74">
        <f t="shared" si="2"/>
        <v>0</v>
      </c>
      <c r="D55" s="74">
        <v>0</v>
      </c>
      <c r="E55" s="75">
        <v>0</v>
      </c>
      <c r="F55" s="22">
        <f t="shared" si="0"/>
        <v>0</v>
      </c>
      <c r="G55" s="76">
        <v>0</v>
      </c>
      <c r="H55" s="76">
        <v>0</v>
      </c>
      <c r="I55" s="76">
        <v>0</v>
      </c>
      <c r="J55" s="74">
        <v>374.63315</v>
      </c>
      <c r="K55" s="74">
        <v>0</v>
      </c>
      <c r="L55" s="74">
        <f t="shared" si="1"/>
        <v>374.63315</v>
      </c>
    </row>
    <row r="56" spans="1:12" x14ac:dyDescent="0.25">
      <c r="A56" s="14">
        <v>50</v>
      </c>
      <c r="B56" s="20" t="s">
        <v>63</v>
      </c>
      <c r="C56" s="77">
        <f t="shared" si="2"/>
        <v>0</v>
      </c>
      <c r="D56" s="74">
        <v>0</v>
      </c>
      <c r="E56" s="75">
        <v>0</v>
      </c>
      <c r="F56" s="22">
        <f t="shared" si="0"/>
        <v>0</v>
      </c>
      <c r="G56" s="76">
        <v>0</v>
      </c>
      <c r="H56" s="76">
        <v>0</v>
      </c>
      <c r="I56" s="76">
        <v>0</v>
      </c>
      <c r="J56" s="74">
        <v>1254.8581899999999</v>
      </c>
      <c r="K56" s="74">
        <v>0</v>
      </c>
      <c r="L56" s="74">
        <f t="shared" si="1"/>
        <v>1254.8581899999999</v>
      </c>
    </row>
    <row r="57" spans="1:12" x14ac:dyDescent="0.25">
      <c r="A57" s="14">
        <v>51</v>
      </c>
      <c r="B57" s="20" t="s">
        <v>64</v>
      </c>
      <c r="C57" s="74">
        <f t="shared" si="2"/>
        <v>250</v>
      </c>
      <c r="D57" s="74">
        <v>250</v>
      </c>
      <c r="E57" s="75">
        <v>0</v>
      </c>
      <c r="F57" s="22">
        <f t="shared" si="0"/>
        <v>0</v>
      </c>
      <c r="G57" s="76">
        <v>0</v>
      </c>
      <c r="H57" s="76">
        <v>0</v>
      </c>
      <c r="I57" s="76">
        <v>0</v>
      </c>
      <c r="J57" s="74">
        <v>140.52000000000001</v>
      </c>
      <c r="K57" s="74">
        <v>0</v>
      </c>
      <c r="L57" s="74">
        <f t="shared" si="1"/>
        <v>140.52000000000001</v>
      </c>
    </row>
    <row r="58" spans="1:12" x14ac:dyDescent="0.25">
      <c r="A58" s="14">
        <v>52</v>
      </c>
      <c r="B58" s="20" t="s">
        <v>65</v>
      </c>
      <c r="C58" s="74">
        <f t="shared" si="2"/>
        <v>0</v>
      </c>
      <c r="D58" s="74">
        <v>0</v>
      </c>
      <c r="E58" s="75">
        <v>0</v>
      </c>
      <c r="F58" s="22">
        <f t="shared" si="0"/>
        <v>0</v>
      </c>
      <c r="G58" s="76">
        <v>0</v>
      </c>
      <c r="H58" s="76">
        <v>0</v>
      </c>
      <c r="I58" s="76">
        <v>0</v>
      </c>
      <c r="J58" s="74">
        <v>755.31340999999998</v>
      </c>
      <c r="K58" s="74">
        <v>0</v>
      </c>
      <c r="L58" s="74">
        <f t="shared" si="1"/>
        <v>755.31340999999998</v>
      </c>
    </row>
    <row r="59" spans="1:12" x14ac:dyDescent="0.25">
      <c r="A59" s="14">
        <v>53</v>
      </c>
      <c r="B59" s="20" t="s">
        <v>66</v>
      </c>
      <c r="C59" s="74">
        <f t="shared" si="2"/>
        <v>0</v>
      </c>
      <c r="D59" s="74">
        <v>0</v>
      </c>
      <c r="E59" s="75">
        <v>0</v>
      </c>
      <c r="F59" s="22">
        <f t="shared" si="0"/>
        <v>0</v>
      </c>
      <c r="G59" s="76">
        <v>0</v>
      </c>
      <c r="H59" s="76">
        <v>0</v>
      </c>
      <c r="I59" s="76">
        <v>0</v>
      </c>
      <c r="J59" s="74">
        <v>1271.4734900000001</v>
      </c>
      <c r="K59" s="74">
        <v>0</v>
      </c>
      <c r="L59" s="74">
        <f t="shared" si="1"/>
        <v>1271.4734900000001</v>
      </c>
    </row>
    <row r="60" spans="1:12" x14ac:dyDescent="0.25">
      <c r="A60" s="14">
        <v>54</v>
      </c>
      <c r="B60" s="20" t="s">
        <v>67</v>
      </c>
      <c r="C60" s="74">
        <f t="shared" si="2"/>
        <v>0</v>
      </c>
      <c r="D60" s="74">
        <v>0</v>
      </c>
      <c r="E60" s="75">
        <v>0</v>
      </c>
      <c r="F60" s="22">
        <f t="shared" si="0"/>
        <v>0</v>
      </c>
      <c r="G60" s="76">
        <v>0</v>
      </c>
      <c r="H60" s="76">
        <v>0</v>
      </c>
      <c r="I60" s="76">
        <v>0</v>
      </c>
      <c r="J60" s="74">
        <v>2755.7024500000002</v>
      </c>
      <c r="K60" s="74">
        <v>0</v>
      </c>
      <c r="L60" s="74">
        <f t="shared" si="1"/>
        <v>2755.7024500000002</v>
      </c>
    </row>
    <row r="61" spans="1:12" x14ac:dyDescent="0.25">
      <c r="A61" s="14">
        <v>55</v>
      </c>
      <c r="B61" s="20" t="s">
        <v>68</v>
      </c>
      <c r="C61" s="77">
        <f t="shared" si="2"/>
        <v>0</v>
      </c>
      <c r="D61" s="74">
        <v>0</v>
      </c>
      <c r="E61" s="75">
        <v>0</v>
      </c>
      <c r="F61" s="22">
        <f t="shared" si="0"/>
        <v>0</v>
      </c>
      <c r="G61" s="76">
        <v>0</v>
      </c>
      <c r="H61" s="76">
        <v>0</v>
      </c>
      <c r="I61" s="76">
        <v>0</v>
      </c>
      <c r="J61" s="74">
        <v>1867.24226</v>
      </c>
      <c r="K61" s="74">
        <v>0</v>
      </c>
      <c r="L61" s="74">
        <f>SUM(J61:K61)</f>
        <v>1867.24226</v>
      </c>
    </row>
    <row r="62" spans="1:12" x14ac:dyDescent="0.25">
      <c r="A62" s="14">
        <v>56</v>
      </c>
      <c r="B62" s="20" t="s">
        <v>69</v>
      </c>
      <c r="C62" s="74">
        <f t="shared" si="2"/>
        <v>150</v>
      </c>
      <c r="D62" s="74">
        <v>150</v>
      </c>
      <c r="E62" s="75">
        <v>0</v>
      </c>
      <c r="F62" s="22">
        <f t="shared" si="0"/>
        <v>0</v>
      </c>
      <c r="G62" s="76">
        <v>0</v>
      </c>
      <c r="H62" s="76">
        <v>0</v>
      </c>
      <c r="I62" s="76">
        <v>0</v>
      </c>
      <c r="J62" s="74">
        <v>168.96374</v>
      </c>
      <c r="K62" s="74">
        <v>0</v>
      </c>
      <c r="L62" s="74">
        <f t="shared" si="1"/>
        <v>168.96374</v>
      </c>
    </row>
    <row r="63" spans="1:12" x14ac:dyDescent="0.25">
      <c r="A63" s="14">
        <v>57</v>
      </c>
      <c r="B63" s="20" t="s">
        <v>70</v>
      </c>
      <c r="C63" s="77">
        <f t="shared" si="2"/>
        <v>0</v>
      </c>
      <c r="D63" s="74">
        <v>0</v>
      </c>
      <c r="E63" s="75">
        <v>0</v>
      </c>
      <c r="F63" s="22">
        <f t="shared" si="0"/>
        <v>0</v>
      </c>
      <c r="G63" s="76">
        <v>0</v>
      </c>
      <c r="H63" s="76">
        <v>0</v>
      </c>
      <c r="I63" s="76">
        <v>0</v>
      </c>
      <c r="J63" s="74">
        <v>1070.9708700000001</v>
      </c>
      <c r="K63" s="74">
        <v>0</v>
      </c>
      <c r="L63" s="74">
        <f t="shared" si="1"/>
        <v>1070.9708700000001</v>
      </c>
    </row>
    <row r="64" spans="1:12" x14ac:dyDescent="0.25">
      <c r="A64" s="14">
        <v>58</v>
      </c>
      <c r="B64" s="20" t="s">
        <v>71</v>
      </c>
      <c r="C64" s="74">
        <f t="shared" si="2"/>
        <v>0</v>
      </c>
      <c r="D64" s="74">
        <v>0</v>
      </c>
      <c r="E64" s="75">
        <v>0</v>
      </c>
      <c r="F64" s="22">
        <f t="shared" si="0"/>
        <v>0</v>
      </c>
      <c r="G64" s="76">
        <v>0</v>
      </c>
      <c r="H64" s="76">
        <v>0</v>
      </c>
      <c r="I64" s="76">
        <v>0</v>
      </c>
      <c r="J64" s="74">
        <v>31.834439999999997</v>
      </c>
      <c r="K64" s="74">
        <v>0</v>
      </c>
      <c r="L64" s="74">
        <f t="shared" si="1"/>
        <v>31.834439999999997</v>
      </c>
    </row>
    <row r="65" spans="1:12" x14ac:dyDescent="0.25">
      <c r="A65" s="14">
        <v>59</v>
      </c>
      <c r="B65" s="20" t="s">
        <v>72</v>
      </c>
      <c r="C65" s="74">
        <f t="shared" si="2"/>
        <v>0</v>
      </c>
      <c r="D65" s="74">
        <v>0</v>
      </c>
      <c r="E65" s="75">
        <v>0</v>
      </c>
      <c r="F65" s="22">
        <f t="shared" si="0"/>
        <v>0</v>
      </c>
      <c r="G65" s="76">
        <v>0</v>
      </c>
      <c r="H65" s="76">
        <v>0</v>
      </c>
      <c r="I65" s="76">
        <v>0</v>
      </c>
      <c r="J65" s="74">
        <v>10.834479999999999</v>
      </c>
      <c r="K65" s="74">
        <v>0</v>
      </c>
      <c r="L65" s="74">
        <f t="shared" si="1"/>
        <v>10.834479999999999</v>
      </c>
    </row>
    <row r="66" spans="1:12" x14ac:dyDescent="0.25">
      <c r="A66" s="14">
        <v>60</v>
      </c>
      <c r="B66" s="20" t="s">
        <v>73</v>
      </c>
      <c r="C66" s="74">
        <f t="shared" si="2"/>
        <v>0</v>
      </c>
      <c r="D66" s="74">
        <v>0</v>
      </c>
      <c r="E66" s="75">
        <v>0</v>
      </c>
      <c r="F66" s="22">
        <f t="shared" si="0"/>
        <v>0</v>
      </c>
      <c r="G66" s="76">
        <v>0</v>
      </c>
      <c r="H66" s="76">
        <v>0</v>
      </c>
      <c r="I66" s="76">
        <v>0</v>
      </c>
      <c r="J66" s="74">
        <v>0</v>
      </c>
      <c r="K66" s="74">
        <v>0</v>
      </c>
      <c r="L66" s="74">
        <f t="shared" si="1"/>
        <v>0</v>
      </c>
    </row>
    <row r="67" spans="1:12" x14ac:dyDescent="0.25">
      <c r="A67" s="14">
        <v>61</v>
      </c>
      <c r="B67" s="20" t="s">
        <v>74</v>
      </c>
      <c r="C67" s="74">
        <f t="shared" si="2"/>
        <v>0</v>
      </c>
      <c r="D67" s="74">
        <v>0</v>
      </c>
      <c r="E67" s="75">
        <v>0</v>
      </c>
      <c r="F67" s="22">
        <f t="shared" si="0"/>
        <v>0</v>
      </c>
      <c r="G67" s="76">
        <v>0</v>
      </c>
      <c r="H67" s="76">
        <v>0</v>
      </c>
      <c r="I67" s="76">
        <v>0</v>
      </c>
      <c r="J67" s="74">
        <v>0</v>
      </c>
      <c r="K67" s="74">
        <v>0</v>
      </c>
      <c r="L67" s="74">
        <f t="shared" si="1"/>
        <v>0</v>
      </c>
    </row>
    <row r="68" spans="1:12" x14ac:dyDescent="0.25">
      <c r="A68" s="14">
        <v>62</v>
      </c>
      <c r="B68" s="20" t="s">
        <v>75</v>
      </c>
      <c r="C68" s="74">
        <f t="shared" si="2"/>
        <v>0</v>
      </c>
      <c r="D68" s="74">
        <v>0</v>
      </c>
      <c r="E68" s="75">
        <v>0</v>
      </c>
      <c r="F68" s="22">
        <f t="shared" si="0"/>
        <v>0</v>
      </c>
      <c r="G68" s="76">
        <v>0</v>
      </c>
      <c r="H68" s="76">
        <v>0</v>
      </c>
      <c r="I68" s="76">
        <v>0</v>
      </c>
      <c r="J68" s="74">
        <v>33.62735</v>
      </c>
      <c r="K68" s="74">
        <v>0</v>
      </c>
      <c r="L68" s="74">
        <f t="shared" si="1"/>
        <v>33.62735</v>
      </c>
    </row>
    <row r="69" spans="1:12" ht="25.5" x14ac:dyDescent="0.25">
      <c r="A69" s="14">
        <v>63</v>
      </c>
      <c r="B69" s="20" t="s">
        <v>76</v>
      </c>
      <c r="C69" s="74">
        <f>SUM(D69:E69)</f>
        <v>0</v>
      </c>
      <c r="D69" s="74">
        <v>0</v>
      </c>
      <c r="E69" s="75">
        <v>0</v>
      </c>
      <c r="F69" s="22">
        <f>SUM(G69:I69)</f>
        <v>0</v>
      </c>
      <c r="G69" s="76">
        <v>0</v>
      </c>
      <c r="H69" s="76">
        <v>0</v>
      </c>
      <c r="I69" s="76">
        <v>0</v>
      </c>
      <c r="J69" s="74">
        <v>0</v>
      </c>
      <c r="K69" s="74">
        <v>0</v>
      </c>
      <c r="L69" s="74">
        <f>SUM(J69:K69)</f>
        <v>0</v>
      </c>
    </row>
    <row r="70" spans="1:12" x14ac:dyDescent="0.25">
      <c r="A70" s="14">
        <v>64</v>
      </c>
      <c r="B70" s="20" t="s">
        <v>77</v>
      </c>
      <c r="C70" s="74">
        <f>SUM(D70:E70)</f>
        <v>1571</v>
      </c>
      <c r="D70" s="74">
        <v>1571</v>
      </c>
      <c r="E70" s="75">
        <v>0</v>
      </c>
      <c r="F70" s="22">
        <f>SUM(G70:I70)</f>
        <v>0</v>
      </c>
      <c r="G70" s="76">
        <v>0</v>
      </c>
      <c r="H70" s="76">
        <v>0</v>
      </c>
      <c r="I70" s="76">
        <v>0</v>
      </c>
      <c r="J70" s="74">
        <v>610.87392</v>
      </c>
      <c r="K70" s="74">
        <v>24.06587</v>
      </c>
      <c r="L70" s="74">
        <f>SUM(J70:K70)</f>
        <v>634.93979000000002</v>
      </c>
    </row>
    <row r="71" spans="1:12" ht="25.5" x14ac:dyDescent="0.25">
      <c r="A71" s="14">
        <v>65</v>
      </c>
      <c r="B71" s="20" t="s">
        <v>78</v>
      </c>
      <c r="C71" s="74">
        <f>SUM(D71:E71)</f>
        <v>0</v>
      </c>
      <c r="D71" s="74">
        <v>0</v>
      </c>
      <c r="E71" s="75">
        <v>0</v>
      </c>
      <c r="F71" s="22">
        <f>SUM(G71:I71)</f>
        <v>0</v>
      </c>
      <c r="G71" s="76">
        <v>0</v>
      </c>
      <c r="H71" s="76">
        <v>0</v>
      </c>
      <c r="I71" s="76">
        <v>0</v>
      </c>
      <c r="J71" s="74">
        <v>0</v>
      </c>
      <c r="K71" s="74">
        <v>0</v>
      </c>
      <c r="L71" s="74">
        <f>SUM(J71:K71)</f>
        <v>0</v>
      </c>
    </row>
    <row r="72" spans="1:12" x14ac:dyDescent="0.25">
      <c r="A72" s="14">
        <v>66</v>
      </c>
      <c r="B72" s="20" t="s">
        <v>79</v>
      </c>
      <c r="C72" s="74">
        <f>SUM(D72:E72)</f>
        <v>0</v>
      </c>
      <c r="D72" s="74">
        <v>0</v>
      </c>
      <c r="E72" s="75">
        <v>0</v>
      </c>
      <c r="F72" s="22">
        <f>SUM(G72:I72)</f>
        <v>0</v>
      </c>
      <c r="G72" s="76">
        <v>0</v>
      </c>
      <c r="H72" s="76">
        <v>0</v>
      </c>
      <c r="I72" s="76">
        <v>0</v>
      </c>
      <c r="J72" s="74">
        <v>0</v>
      </c>
      <c r="K72" s="74">
        <v>0</v>
      </c>
      <c r="L72" s="74">
        <f>SUM(J72:K72)</f>
        <v>0</v>
      </c>
    </row>
    <row r="73" spans="1:12" s="11" customFormat="1" ht="51" x14ac:dyDescent="0.2">
      <c r="A73" s="14">
        <v>67</v>
      </c>
      <c r="B73" s="20" t="s">
        <v>157</v>
      </c>
      <c r="C73" s="74">
        <v>0</v>
      </c>
      <c r="D73" s="74"/>
      <c r="E73" s="75">
        <v>0</v>
      </c>
      <c r="F73" s="22">
        <v>0</v>
      </c>
      <c r="G73" s="76">
        <v>0</v>
      </c>
      <c r="H73" s="76">
        <v>0</v>
      </c>
      <c r="I73" s="76">
        <v>0</v>
      </c>
      <c r="J73" s="74">
        <v>90</v>
      </c>
      <c r="K73" s="74">
        <v>0</v>
      </c>
      <c r="L73" s="74">
        <v>90</v>
      </c>
    </row>
    <row r="74" spans="1:12" ht="38.25" x14ac:dyDescent="0.25">
      <c r="A74" s="14">
        <v>68</v>
      </c>
      <c r="B74" s="20" t="s">
        <v>152</v>
      </c>
      <c r="C74" s="78">
        <v>0</v>
      </c>
      <c r="D74" s="78"/>
      <c r="E74" s="79">
        <v>0</v>
      </c>
      <c r="F74" s="40">
        <v>1059.9317699999999</v>
      </c>
      <c r="G74" s="80">
        <v>0</v>
      </c>
      <c r="H74" s="80">
        <v>1059.9317699999999</v>
      </c>
      <c r="I74" s="80">
        <v>0</v>
      </c>
      <c r="J74" s="78">
        <v>120.64008</v>
      </c>
      <c r="K74" s="78"/>
      <c r="L74" s="78">
        <v>120.64008</v>
      </c>
    </row>
    <row r="75" spans="1:12" ht="38.25" x14ac:dyDescent="0.25">
      <c r="A75" s="14">
        <v>69</v>
      </c>
      <c r="B75" s="20" t="s">
        <v>153</v>
      </c>
      <c r="C75" s="74">
        <v>0</v>
      </c>
      <c r="D75" s="74"/>
      <c r="E75" s="75">
        <v>0</v>
      </c>
      <c r="F75" s="22">
        <v>0</v>
      </c>
      <c r="G75" s="76">
        <v>0</v>
      </c>
      <c r="H75" s="76">
        <v>0</v>
      </c>
      <c r="I75" s="76">
        <v>0</v>
      </c>
      <c r="J75" s="74">
        <v>520.1463</v>
      </c>
      <c r="K75" s="74"/>
      <c r="L75" s="74">
        <v>520.1463</v>
      </c>
    </row>
    <row r="76" spans="1:12" ht="38.25" x14ac:dyDescent="0.25">
      <c r="A76" s="14">
        <v>70</v>
      </c>
      <c r="B76" s="20" t="s">
        <v>154</v>
      </c>
      <c r="C76" s="74">
        <v>0</v>
      </c>
      <c r="D76" s="74"/>
      <c r="E76" s="75">
        <v>0</v>
      </c>
      <c r="F76" s="22">
        <v>117.99997999999999</v>
      </c>
      <c r="G76" s="76"/>
      <c r="H76" s="76">
        <v>117.99997999999999</v>
      </c>
      <c r="I76" s="76"/>
      <c r="J76" s="74">
        <v>134</v>
      </c>
      <c r="K76" s="74"/>
      <c r="L76" s="74">
        <v>134</v>
      </c>
    </row>
    <row r="77" spans="1:12" ht="38.25" x14ac:dyDescent="0.25">
      <c r="A77" s="14">
        <v>71</v>
      </c>
      <c r="B77" s="20" t="s">
        <v>155</v>
      </c>
      <c r="C77" s="78">
        <v>0</v>
      </c>
      <c r="D77" s="78"/>
      <c r="E77" s="79">
        <v>0</v>
      </c>
      <c r="F77" s="40">
        <v>0</v>
      </c>
      <c r="G77" s="80">
        <v>0</v>
      </c>
      <c r="H77" s="80">
        <v>0</v>
      </c>
      <c r="I77" s="80">
        <v>0</v>
      </c>
      <c r="J77" s="78">
        <v>277.12351999999998</v>
      </c>
      <c r="K77" s="78"/>
      <c r="L77" s="78">
        <v>277.12351999999998</v>
      </c>
    </row>
    <row r="78" spans="1:12" x14ac:dyDescent="0.25">
      <c r="A78" s="14">
        <v>72</v>
      </c>
      <c r="B78" s="20" t="s">
        <v>156</v>
      </c>
      <c r="C78" s="74">
        <v>0</v>
      </c>
      <c r="D78" s="74">
        <v>0</v>
      </c>
      <c r="E78" s="75">
        <v>0</v>
      </c>
      <c r="F78" s="22">
        <v>0</v>
      </c>
      <c r="G78" s="76">
        <v>0</v>
      </c>
      <c r="H78" s="76">
        <v>0</v>
      </c>
      <c r="I78" s="76">
        <v>0</v>
      </c>
      <c r="J78" s="74">
        <v>0</v>
      </c>
      <c r="K78" s="74">
        <v>0</v>
      </c>
      <c r="L78" s="74">
        <v>0</v>
      </c>
    </row>
    <row r="79" spans="1:12" x14ac:dyDescent="0.25">
      <c r="A79" s="10"/>
      <c r="B79" s="7" t="s">
        <v>131</v>
      </c>
      <c r="C79" s="74">
        <f t="shared" ref="C79:L79" si="3">SUM(C7:C78)</f>
        <v>106382.4618</v>
      </c>
      <c r="D79" s="74">
        <f t="shared" si="3"/>
        <v>106382.4618</v>
      </c>
      <c r="E79" s="74">
        <f t="shared" si="3"/>
        <v>0</v>
      </c>
      <c r="F79" s="74">
        <f t="shared" si="3"/>
        <v>1403.93175</v>
      </c>
      <c r="G79" s="74">
        <f t="shared" si="3"/>
        <v>0</v>
      </c>
      <c r="H79" s="74">
        <f t="shared" si="3"/>
        <v>1403.93175</v>
      </c>
      <c r="I79" s="74">
        <f t="shared" si="3"/>
        <v>0</v>
      </c>
      <c r="J79" s="74">
        <f t="shared" si="3"/>
        <v>113041.88105999997</v>
      </c>
      <c r="K79" s="74">
        <f t="shared" si="3"/>
        <v>229.054</v>
      </c>
      <c r="L79" s="74">
        <f t="shared" si="3"/>
        <v>113270.93505999999</v>
      </c>
    </row>
    <row r="82" spans="5:5" ht="13.9" x14ac:dyDescent="0.25">
      <c r="E82" s="27"/>
    </row>
  </sheetData>
  <mergeCells count="6">
    <mergeCell ref="D2:I2"/>
    <mergeCell ref="J5:L5"/>
    <mergeCell ref="A5:A6"/>
    <mergeCell ref="B5:B6"/>
    <mergeCell ref="C5:E5"/>
    <mergeCell ref="F5:I5"/>
  </mergeCells>
  <pageMargins left="0.25" right="0.25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81"/>
  <sheetViews>
    <sheetView view="pageBreakPreview" topLeftCell="A52" zoomScale="60" zoomScaleNormal="100" workbookViewId="0">
      <selection activeCell="E16" sqref="E16"/>
    </sheetView>
  </sheetViews>
  <sheetFormatPr defaultColWidth="9.140625" defaultRowHeight="15" x14ac:dyDescent="0.25"/>
  <cols>
    <col min="1" max="1" width="4.42578125" style="8" bestFit="1" customWidth="1"/>
    <col min="2" max="2" width="43.85546875" style="16" customWidth="1"/>
    <col min="3" max="3" width="11.42578125" style="8" customWidth="1"/>
    <col min="4" max="4" width="10" style="8" customWidth="1"/>
    <col min="5" max="5" width="13.140625" style="8" customWidth="1"/>
    <col min="6" max="6" width="15.85546875" style="8" customWidth="1"/>
    <col min="7" max="7" width="19.140625" style="8" customWidth="1"/>
    <col min="8" max="8" width="16.5703125" style="8" customWidth="1"/>
    <col min="9" max="16384" width="9.140625" style="8"/>
  </cols>
  <sheetData>
    <row r="1" spans="1:8" ht="15.75" x14ac:dyDescent="0.25">
      <c r="H1" s="28" t="s">
        <v>142</v>
      </c>
    </row>
    <row r="2" spans="1:8" ht="37.5" customHeight="1" x14ac:dyDescent="0.25">
      <c r="B2" s="101" t="s">
        <v>150</v>
      </c>
      <c r="C2" s="101"/>
      <c r="D2" s="101"/>
      <c r="E2" s="101"/>
      <c r="F2" s="101"/>
      <c r="G2" s="101"/>
    </row>
    <row r="5" spans="1:8" s="2" customFormat="1" x14ac:dyDescent="0.25">
      <c r="A5" s="143" t="s">
        <v>80</v>
      </c>
      <c r="B5" s="143" t="s">
        <v>88</v>
      </c>
      <c r="C5" s="143" t="s">
        <v>124</v>
      </c>
      <c r="D5" s="143"/>
      <c r="E5" s="143"/>
      <c r="F5" s="143" t="s">
        <v>125</v>
      </c>
      <c r="G5" s="143"/>
      <c r="H5" s="143" t="s">
        <v>126</v>
      </c>
    </row>
    <row r="6" spans="1:8" s="2" customFormat="1" x14ac:dyDescent="0.25">
      <c r="A6" s="143"/>
      <c r="B6" s="143"/>
      <c r="C6" s="143" t="s">
        <v>0</v>
      </c>
      <c r="D6" s="143" t="s">
        <v>127</v>
      </c>
      <c r="E6" s="143"/>
      <c r="F6" s="143" t="s">
        <v>0</v>
      </c>
      <c r="G6" s="143" t="s">
        <v>128</v>
      </c>
      <c r="H6" s="143"/>
    </row>
    <row r="7" spans="1:8" s="2" customFormat="1" ht="34.15" customHeight="1" x14ac:dyDescent="0.25">
      <c r="A7" s="143"/>
      <c r="B7" s="143"/>
      <c r="C7" s="143"/>
      <c r="D7" s="12" t="s">
        <v>0</v>
      </c>
      <c r="E7" s="12" t="s">
        <v>129</v>
      </c>
      <c r="F7" s="143"/>
      <c r="G7" s="143"/>
      <c r="H7" s="143"/>
    </row>
    <row r="8" spans="1:8" ht="24" x14ac:dyDescent="0.25">
      <c r="A8" s="14">
        <v>1</v>
      </c>
      <c r="B8" s="17" t="s">
        <v>14</v>
      </c>
      <c r="C8" s="70">
        <v>42.251449999999998</v>
      </c>
      <c r="D8" s="70">
        <v>0</v>
      </c>
      <c r="E8" s="70">
        <v>0</v>
      </c>
      <c r="F8" s="70">
        <f>0</f>
        <v>0</v>
      </c>
      <c r="G8" s="23">
        <v>0</v>
      </c>
      <c r="H8" s="23">
        <v>0</v>
      </c>
    </row>
    <row r="9" spans="1:8" x14ac:dyDescent="0.25">
      <c r="A9" s="14">
        <v>2</v>
      </c>
      <c r="B9" s="17" t="s">
        <v>15</v>
      </c>
      <c r="C9" s="70">
        <v>34.03013</v>
      </c>
      <c r="D9" s="70">
        <v>0</v>
      </c>
      <c r="E9" s="70">
        <v>0</v>
      </c>
      <c r="F9" s="70">
        <f>27.19691+0</f>
        <v>27.196909999999999</v>
      </c>
      <c r="G9" s="23">
        <v>0</v>
      </c>
      <c r="H9" s="23">
        <v>0</v>
      </c>
    </row>
    <row r="10" spans="1:8" x14ac:dyDescent="0.25">
      <c r="A10" s="14">
        <v>3</v>
      </c>
      <c r="B10" s="17" t="s">
        <v>16</v>
      </c>
      <c r="C10" s="70">
        <v>17.643219999999999</v>
      </c>
      <c r="D10" s="70">
        <v>0</v>
      </c>
      <c r="E10" s="70">
        <v>0</v>
      </c>
      <c r="F10" s="70">
        <v>0</v>
      </c>
      <c r="G10" s="23">
        <v>0</v>
      </c>
      <c r="H10" s="23">
        <v>0</v>
      </c>
    </row>
    <row r="11" spans="1:8" x14ac:dyDescent="0.25">
      <c r="A11" s="14">
        <v>4</v>
      </c>
      <c r="B11" s="17" t="s">
        <v>17</v>
      </c>
      <c r="C11" s="70">
        <v>13.24</v>
      </c>
      <c r="D11" s="70">
        <v>0</v>
      </c>
      <c r="E11" s="70">
        <v>0</v>
      </c>
      <c r="F11" s="70">
        <f>1.379+8.18</f>
        <v>9.5589999999999993</v>
      </c>
      <c r="G11" s="23">
        <v>0</v>
      </c>
      <c r="H11" s="23">
        <v>0</v>
      </c>
    </row>
    <row r="12" spans="1:8" ht="24" x14ac:dyDescent="0.25">
      <c r="A12" s="14">
        <v>5</v>
      </c>
      <c r="B12" s="17" t="s">
        <v>18</v>
      </c>
      <c r="C12" s="70">
        <v>207.56177</v>
      </c>
      <c r="D12" s="70">
        <v>0</v>
      </c>
      <c r="E12" s="70">
        <v>0</v>
      </c>
      <c r="F12" s="70">
        <v>0</v>
      </c>
      <c r="G12" s="23">
        <v>0</v>
      </c>
      <c r="H12" s="23">
        <v>0</v>
      </c>
    </row>
    <row r="13" spans="1:8" ht="24" x14ac:dyDescent="0.25">
      <c r="A13" s="14">
        <v>6</v>
      </c>
      <c r="B13" s="17" t="s">
        <v>19</v>
      </c>
      <c r="C13" s="70">
        <v>1205.7368300000001</v>
      </c>
      <c r="D13" s="70">
        <v>0</v>
      </c>
      <c r="E13" s="70">
        <v>0</v>
      </c>
      <c r="F13" s="70">
        <v>0</v>
      </c>
      <c r="G13" s="23">
        <v>0</v>
      </c>
      <c r="H13" s="23">
        <v>0</v>
      </c>
    </row>
    <row r="14" spans="1:8" x14ac:dyDescent="0.25">
      <c r="A14" s="14">
        <v>7</v>
      </c>
      <c r="B14" s="17" t="s">
        <v>20</v>
      </c>
      <c r="C14" s="70">
        <v>29.327649999999998</v>
      </c>
      <c r="D14" s="70">
        <v>0</v>
      </c>
      <c r="E14" s="70">
        <v>0</v>
      </c>
      <c r="F14" s="70">
        <f>880.641+0</f>
        <v>880.64099999999996</v>
      </c>
      <c r="G14" s="23">
        <v>0</v>
      </c>
      <c r="H14" s="23">
        <v>0</v>
      </c>
    </row>
    <row r="15" spans="1:8" x14ac:dyDescent="0.25">
      <c r="A15" s="14">
        <v>8</v>
      </c>
      <c r="B15" s="17" t="s">
        <v>21</v>
      </c>
      <c r="C15" s="70">
        <v>30.514980000000001</v>
      </c>
      <c r="D15" s="70">
        <v>0</v>
      </c>
      <c r="E15" s="70">
        <v>0</v>
      </c>
      <c r="F15" s="70">
        <v>0</v>
      </c>
      <c r="G15" s="23">
        <v>0</v>
      </c>
      <c r="H15" s="23">
        <v>0</v>
      </c>
    </row>
    <row r="16" spans="1:8" x14ac:dyDescent="0.25">
      <c r="A16" s="14">
        <v>9</v>
      </c>
      <c r="B16" s="17" t="s">
        <v>22</v>
      </c>
      <c r="C16" s="70">
        <v>58.64761</v>
      </c>
      <c r="D16" s="70">
        <v>0</v>
      </c>
      <c r="E16" s="70">
        <v>0</v>
      </c>
      <c r="F16" s="70">
        <v>0</v>
      </c>
      <c r="G16" s="23">
        <v>0</v>
      </c>
      <c r="H16" s="23">
        <v>0</v>
      </c>
    </row>
    <row r="17" spans="1:8" x14ac:dyDescent="0.25">
      <c r="A17" s="14">
        <v>10</v>
      </c>
      <c r="B17" s="17" t="s">
        <v>23</v>
      </c>
      <c r="C17" s="70">
        <v>68.265069999999994</v>
      </c>
      <c r="D17" s="70">
        <v>0</v>
      </c>
      <c r="E17" s="70">
        <v>0</v>
      </c>
      <c r="F17" s="70">
        <f>56.8033816</f>
        <v>56.803381600000002</v>
      </c>
      <c r="G17" s="23">
        <v>0</v>
      </c>
      <c r="H17" s="23">
        <v>0</v>
      </c>
    </row>
    <row r="18" spans="1:8" x14ac:dyDescent="0.25">
      <c r="A18" s="14">
        <v>11</v>
      </c>
      <c r="B18" s="17" t="s">
        <v>24</v>
      </c>
      <c r="C18" s="70">
        <v>16.116769999999999</v>
      </c>
      <c r="D18" s="70">
        <v>0</v>
      </c>
      <c r="E18" s="70">
        <v>0</v>
      </c>
      <c r="F18" s="70">
        <v>0</v>
      </c>
      <c r="G18" s="23">
        <v>0</v>
      </c>
      <c r="H18" s="23">
        <v>0</v>
      </c>
    </row>
    <row r="19" spans="1:8" x14ac:dyDescent="0.25">
      <c r="A19" s="14">
        <v>12</v>
      </c>
      <c r="B19" s="17" t="s">
        <v>25</v>
      </c>
      <c r="C19" s="70">
        <v>133.96188000000001</v>
      </c>
      <c r="D19" s="70">
        <v>0</v>
      </c>
      <c r="E19" s="70">
        <v>0</v>
      </c>
      <c r="F19" s="70">
        <v>0</v>
      </c>
      <c r="G19" s="23">
        <v>0</v>
      </c>
      <c r="H19" s="23">
        <v>0</v>
      </c>
    </row>
    <row r="20" spans="1:8" x14ac:dyDescent="0.25">
      <c r="A20" s="14">
        <v>13</v>
      </c>
      <c r="B20" s="17" t="s">
        <v>26</v>
      </c>
      <c r="C20" s="70">
        <v>99.374049999999997</v>
      </c>
      <c r="D20" s="70">
        <v>0</v>
      </c>
      <c r="E20" s="70">
        <v>0</v>
      </c>
      <c r="F20" s="70">
        <v>3.5550099999999998</v>
      </c>
      <c r="G20" s="23">
        <v>0</v>
      </c>
      <c r="H20" s="23">
        <v>0</v>
      </c>
    </row>
    <row r="21" spans="1:8" x14ac:dyDescent="0.25">
      <c r="A21" s="14">
        <v>14</v>
      </c>
      <c r="B21" s="17" t="s">
        <v>27</v>
      </c>
      <c r="C21" s="70">
        <v>14.769600000000001</v>
      </c>
      <c r="D21" s="70">
        <v>0</v>
      </c>
      <c r="E21" s="70">
        <v>0</v>
      </c>
      <c r="F21" s="70">
        <v>44.219210000000004</v>
      </c>
      <c r="G21" s="23">
        <v>0</v>
      </c>
      <c r="H21" s="23">
        <v>0</v>
      </c>
    </row>
    <row r="22" spans="1:8" ht="24" x14ac:dyDescent="0.25">
      <c r="A22" s="14">
        <v>15</v>
      </c>
      <c r="B22" s="17" t="s">
        <v>28</v>
      </c>
      <c r="C22" s="70">
        <v>49.875819999999997</v>
      </c>
      <c r="D22" s="70">
        <v>0</v>
      </c>
      <c r="E22" s="70">
        <v>0</v>
      </c>
      <c r="F22" s="70">
        <f>21.3464+0.78442</f>
        <v>22.13082</v>
      </c>
      <c r="G22" s="23">
        <v>0</v>
      </c>
      <c r="H22" s="23">
        <v>0</v>
      </c>
    </row>
    <row r="23" spans="1:8" ht="24" x14ac:dyDescent="0.25">
      <c r="A23" s="14">
        <v>16</v>
      </c>
      <c r="B23" s="17" t="s">
        <v>29</v>
      </c>
      <c r="C23" s="70">
        <v>7.3361099999999997</v>
      </c>
      <c r="D23" s="70">
        <v>0</v>
      </c>
      <c r="E23" s="70">
        <v>0</v>
      </c>
      <c r="F23" s="70">
        <f>37.04117+0</f>
        <v>37.041170000000001</v>
      </c>
      <c r="G23" s="23">
        <v>0</v>
      </c>
      <c r="H23" s="23">
        <v>0</v>
      </c>
    </row>
    <row r="24" spans="1:8" x14ac:dyDescent="0.25">
      <c r="A24" s="14">
        <v>17</v>
      </c>
      <c r="B24" s="17" t="s">
        <v>30</v>
      </c>
      <c r="C24" s="70">
        <v>37.794559999999997</v>
      </c>
      <c r="D24" s="70">
        <v>0</v>
      </c>
      <c r="E24" s="70">
        <v>0</v>
      </c>
      <c r="F24" s="70">
        <v>2.5417800000000002</v>
      </c>
      <c r="G24" s="23">
        <v>0</v>
      </c>
      <c r="H24" s="23">
        <v>0</v>
      </c>
    </row>
    <row r="25" spans="1:8" ht="24" x14ac:dyDescent="0.25">
      <c r="A25" s="14">
        <v>18</v>
      </c>
      <c r="B25" s="17" t="s">
        <v>31</v>
      </c>
      <c r="C25" s="70">
        <v>0.58499999999999996</v>
      </c>
      <c r="D25" s="70">
        <v>0</v>
      </c>
      <c r="E25" s="70">
        <v>0</v>
      </c>
      <c r="F25" s="70">
        <f>17.28415+1.525</f>
        <v>18.809149999999999</v>
      </c>
      <c r="G25" s="23">
        <v>0</v>
      </c>
      <c r="H25" s="23">
        <v>0</v>
      </c>
    </row>
    <row r="26" spans="1:8" x14ac:dyDescent="0.25">
      <c r="A26" s="14">
        <v>19</v>
      </c>
      <c r="B26" s="17" t="s">
        <v>32</v>
      </c>
      <c r="C26" s="70">
        <v>2.3591700000000002</v>
      </c>
      <c r="D26" s="70">
        <v>0</v>
      </c>
      <c r="E26" s="70">
        <v>0</v>
      </c>
      <c r="F26" s="70">
        <v>28.710419999999999</v>
      </c>
      <c r="G26" s="23">
        <v>0</v>
      </c>
      <c r="H26" s="23">
        <v>0</v>
      </c>
    </row>
    <row r="27" spans="1:8" x14ac:dyDescent="0.25">
      <c r="A27" s="14">
        <v>20</v>
      </c>
      <c r="B27" s="17" t="s">
        <v>33</v>
      </c>
      <c r="C27" s="70">
        <v>0</v>
      </c>
      <c r="D27" s="70">
        <v>0</v>
      </c>
      <c r="E27" s="70">
        <v>0</v>
      </c>
      <c r="F27" s="70">
        <f>2.49916</f>
        <v>2.4991599999999998</v>
      </c>
      <c r="G27" s="23">
        <v>0</v>
      </c>
      <c r="H27" s="23">
        <v>0</v>
      </c>
    </row>
    <row r="28" spans="1:8" x14ac:dyDescent="0.25">
      <c r="A28" s="14">
        <v>21</v>
      </c>
      <c r="B28" s="17" t="s">
        <v>34</v>
      </c>
      <c r="C28" s="70">
        <v>35.352780000000003</v>
      </c>
      <c r="D28" s="70">
        <v>0</v>
      </c>
      <c r="E28" s="70">
        <v>0</v>
      </c>
      <c r="F28" s="70">
        <f>104.74065+0</f>
        <v>104.74065</v>
      </c>
      <c r="G28" s="23">
        <v>0</v>
      </c>
      <c r="H28" s="23">
        <v>0</v>
      </c>
    </row>
    <row r="29" spans="1:8" x14ac:dyDescent="0.25">
      <c r="A29" s="14">
        <v>22</v>
      </c>
      <c r="B29" s="17" t="s">
        <v>35</v>
      </c>
      <c r="C29" s="70">
        <v>27</v>
      </c>
      <c r="D29" s="70">
        <v>0</v>
      </c>
      <c r="E29" s="70">
        <v>0</v>
      </c>
      <c r="F29" s="70">
        <f>10.1+0</f>
        <v>10.1</v>
      </c>
      <c r="G29" s="23">
        <v>0</v>
      </c>
      <c r="H29" s="23">
        <v>0</v>
      </c>
    </row>
    <row r="30" spans="1:8" x14ac:dyDescent="0.25">
      <c r="A30" s="14">
        <v>23</v>
      </c>
      <c r="B30" s="17" t="s">
        <v>36</v>
      </c>
      <c r="C30" s="70">
        <v>0</v>
      </c>
      <c r="D30" s="70">
        <v>0</v>
      </c>
      <c r="E30" s="70">
        <v>0</v>
      </c>
      <c r="F30" s="70">
        <f>656.59+73.6</f>
        <v>730.19</v>
      </c>
      <c r="G30" s="23">
        <v>0</v>
      </c>
      <c r="H30" s="23">
        <v>0</v>
      </c>
    </row>
    <row r="31" spans="1:8" x14ac:dyDescent="0.25">
      <c r="A31" s="14">
        <v>24</v>
      </c>
      <c r="B31" s="17" t="s">
        <v>37</v>
      </c>
      <c r="C31" s="70">
        <v>10.746740000000001</v>
      </c>
      <c r="D31" s="70">
        <v>0</v>
      </c>
      <c r="E31" s="70">
        <v>0</v>
      </c>
      <c r="F31" s="70">
        <f>14.09679+0</f>
        <v>14.09679</v>
      </c>
      <c r="G31" s="23">
        <v>0</v>
      </c>
      <c r="H31" s="23">
        <v>0</v>
      </c>
    </row>
    <row r="32" spans="1:8" x14ac:dyDescent="0.25">
      <c r="A32" s="14">
        <v>25</v>
      </c>
      <c r="B32" s="17" t="s">
        <v>38</v>
      </c>
      <c r="C32" s="70">
        <v>160.23871</v>
      </c>
      <c r="D32" s="70">
        <v>0</v>
      </c>
      <c r="E32" s="70">
        <v>0</v>
      </c>
      <c r="F32" s="70">
        <f>12.23859+0.1</f>
        <v>12.33859</v>
      </c>
      <c r="G32" s="23">
        <v>0</v>
      </c>
      <c r="H32" s="23">
        <v>0</v>
      </c>
    </row>
    <row r="33" spans="1:8" x14ac:dyDescent="0.25">
      <c r="A33" s="14">
        <v>26</v>
      </c>
      <c r="B33" s="17" t="s">
        <v>39</v>
      </c>
      <c r="C33" s="70">
        <v>200.77772999999999</v>
      </c>
      <c r="D33" s="70">
        <v>0</v>
      </c>
      <c r="E33" s="70">
        <v>0</v>
      </c>
      <c r="F33" s="70">
        <f>0</f>
        <v>0</v>
      </c>
      <c r="G33" s="23">
        <v>0</v>
      </c>
      <c r="H33" s="23">
        <v>0</v>
      </c>
    </row>
    <row r="34" spans="1:8" x14ac:dyDescent="0.25">
      <c r="A34" s="14">
        <v>27</v>
      </c>
      <c r="B34" s="17" t="s">
        <v>40</v>
      </c>
      <c r="C34" s="70">
        <v>9.7931899999999992</v>
      </c>
      <c r="D34" s="70">
        <v>0</v>
      </c>
      <c r="E34" s="70">
        <v>0</v>
      </c>
      <c r="F34" s="70">
        <v>0</v>
      </c>
      <c r="G34" s="23">
        <v>0</v>
      </c>
      <c r="H34" s="23">
        <v>0</v>
      </c>
    </row>
    <row r="35" spans="1:8" ht="24" x14ac:dyDescent="0.25">
      <c r="A35" s="14">
        <v>28</v>
      </c>
      <c r="B35" s="17" t="s">
        <v>41</v>
      </c>
      <c r="C35" s="70">
        <v>6.5094500000000002</v>
      </c>
      <c r="D35" s="70">
        <v>0</v>
      </c>
      <c r="E35" s="70">
        <v>0</v>
      </c>
      <c r="F35" s="70">
        <f>26.76805+0</f>
        <v>26.768049999999999</v>
      </c>
      <c r="G35" s="23">
        <v>0</v>
      </c>
      <c r="H35" s="23">
        <v>0</v>
      </c>
    </row>
    <row r="36" spans="1:8" ht="24" x14ac:dyDescent="0.25">
      <c r="A36" s="14">
        <v>29</v>
      </c>
      <c r="B36" s="17" t="s">
        <v>42</v>
      </c>
      <c r="C36" s="70">
        <v>342.95152000000002</v>
      </c>
      <c r="D36" s="70">
        <v>0</v>
      </c>
      <c r="E36" s="70">
        <v>0</v>
      </c>
      <c r="F36" s="70">
        <f>141.40619+2.148</f>
        <v>143.55419000000001</v>
      </c>
      <c r="G36" s="23">
        <v>0</v>
      </c>
      <c r="H36" s="23">
        <v>0</v>
      </c>
    </row>
    <row r="37" spans="1:8" x14ac:dyDescent="0.25">
      <c r="A37" s="14">
        <v>30</v>
      </c>
      <c r="B37" s="17" t="s">
        <v>43</v>
      </c>
      <c r="C37" s="70">
        <v>4.19618</v>
      </c>
      <c r="D37" s="70">
        <v>0</v>
      </c>
      <c r="E37" s="70">
        <v>0</v>
      </c>
      <c r="F37" s="70">
        <v>0</v>
      </c>
      <c r="G37" s="23">
        <v>0</v>
      </c>
      <c r="H37" s="23">
        <v>0</v>
      </c>
    </row>
    <row r="38" spans="1:8" x14ac:dyDescent="0.25">
      <c r="A38" s="14">
        <v>31</v>
      </c>
      <c r="B38" s="17" t="s">
        <v>44</v>
      </c>
      <c r="C38" s="70">
        <v>239.87090000000001</v>
      </c>
      <c r="D38" s="70">
        <v>0</v>
      </c>
      <c r="E38" s="70">
        <v>0</v>
      </c>
      <c r="F38" s="70">
        <f>24.13493+0</f>
        <v>24.134930000000001</v>
      </c>
      <c r="G38" s="23">
        <v>0</v>
      </c>
      <c r="H38" s="23">
        <v>0</v>
      </c>
    </row>
    <row r="39" spans="1:8" x14ac:dyDescent="0.25">
      <c r="A39" s="14">
        <v>32</v>
      </c>
      <c r="B39" s="17" t="s">
        <v>45</v>
      </c>
      <c r="C39" s="70">
        <v>8.6020000000000003</v>
      </c>
      <c r="D39" s="70">
        <v>0</v>
      </c>
      <c r="E39" s="70">
        <v>0</v>
      </c>
      <c r="F39" s="70">
        <f>8.0241+0</f>
        <v>8.0241000000000007</v>
      </c>
      <c r="G39" s="23">
        <v>0</v>
      </c>
      <c r="H39" s="23">
        <v>0</v>
      </c>
    </row>
    <row r="40" spans="1:8" ht="24" x14ac:dyDescent="0.25">
      <c r="A40" s="14">
        <v>33</v>
      </c>
      <c r="B40" s="17" t="s">
        <v>46</v>
      </c>
      <c r="C40" s="70">
        <v>26.312280000000001</v>
      </c>
      <c r="D40" s="70">
        <v>0</v>
      </c>
      <c r="E40" s="70">
        <v>0</v>
      </c>
      <c r="F40" s="70">
        <f>38.16884+0.008</f>
        <v>38.176840000000006</v>
      </c>
      <c r="G40" s="23">
        <v>0</v>
      </c>
      <c r="H40" s="23">
        <v>0</v>
      </c>
    </row>
    <row r="41" spans="1:8" x14ac:dyDescent="0.25">
      <c r="A41" s="14">
        <v>34</v>
      </c>
      <c r="B41" s="17" t="s">
        <v>47</v>
      </c>
      <c r="C41" s="71">
        <v>0</v>
      </c>
      <c r="D41" s="70">
        <v>0</v>
      </c>
      <c r="E41" s="70">
        <v>0</v>
      </c>
      <c r="F41" s="70">
        <v>0</v>
      </c>
      <c r="G41" s="23">
        <v>0</v>
      </c>
      <c r="H41" s="23">
        <v>0</v>
      </c>
    </row>
    <row r="42" spans="1:8" ht="24" x14ac:dyDescent="0.25">
      <c r="A42" s="14">
        <v>35</v>
      </c>
      <c r="B42" s="17" t="s">
        <v>48</v>
      </c>
      <c r="C42" s="70">
        <v>368.71739000000002</v>
      </c>
      <c r="D42" s="70">
        <v>0</v>
      </c>
      <c r="E42" s="70">
        <v>0</v>
      </c>
      <c r="F42" s="70">
        <v>48.914809999999996</v>
      </c>
      <c r="G42" s="23">
        <v>0</v>
      </c>
      <c r="H42" s="23">
        <v>0</v>
      </c>
    </row>
    <row r="43" spans="1:8" x14ac:dyDescent="0.25">
      <c r="A43" s="14">
        <v>36</v>
      </c>
      <c r="B43" s="17" t="s">
        <v>49</v>
      </c>
      <c r="C43" s="70">
        <v>11.66</v>
      </c>
      <c r="D43" s="70">
        <v>0</v>
      </c>
      <c r="E43" s="70">
        <v>0</v>
      </c>
      <c r="F43" s="70">
        <f>27.05+0</f>
        <v>27.05</v>
      </c>
      <c r="G43" s="23">
        <v>0</v>
      </c>
      <c r="H43" s="23">
        <v>0</v>
      </c>
    </row>
    <row r="44" spans="1:8" x14ac:dyDescent="0.25">
      <c r="A44" s="14">
        <v>37</v>
      </c>
      <c r="B44" s="17" t="s">
        <v>50</v>
      </c>
      <c r="C44" s="70">
        <v>51.842950000000002</v>
      </c>
      <c r="D44" s="70">
        <v>0</v>
      </c>
      <c r="E44" s="70">
        <v>0</v>
      </c>
      <c r="F44" s="70">
        <f>137.60257+0</f>
        <v>137.60256999999999</v>
      </c>
      <c r="G44" s="23">
        <v>0</v>
      </c>
      <c r="H44" s="23">
        <v>0</v>
      </c>
    </row>
    <row r="45" spans="1:8" x14ac:dyDescent="0.25">
      <c r="A45" s="14">
        <v>38</v>
      </c>
      <c r="B45" s="17" t="s">
        <v>51</v>
      </c>
      <c r="C45" s="70">
        <v>10.63383</v>
      </c>
      <c r="D45" s="70">
        <v>0</v>
      </c>
      <c r="E45" s="70">
        <v>0</v>
      </c>
      <c r="F45" s="70">
        <f>11.73334+0</f>
        <v>11.73334</v>
      </c>
      <c r="G45" s="23">
        <v>0</v>
      </c>
      <c r="H45" s="23">
        <v>0</v>
      </c>
    </row>
    <row r="46" spans="1:8" x14ac:dyDescent="0.25">
      <c r="A46" s="14">
        <v>39</v>
      </c>
      <c r="B46" s="17" t="s">
        <v>52</v>
      </c>
      <c r="C46" s="70">
        <v>100.72751</v>
      </c>
      <c r="D46" s="70">
        <v>0</v>
      </c>
      <c r="E46" s="70">
        <v>0</v>
      </c>
      <c r="F46" s="70">
        <v>0</v>
      </c>
      <c r="G46" s="23">
        <v>0</v>
      </c>
      <c r="H46" s="23">
        <v>0</v>
      </c>
    </row>
    <row r="47" spans="1:8" x14ac:dyDescent="0.25">
      <c r="A47" s="14">
        <v>40</v>
      </c>
      <c r="B47" s="17" t="s">
        <v>53</v>
      </c>
      <c r="C47" s="70">
        <v>3.26884</v>
      </c>
      <c r="D47" s="70">
        <v>0</v>
      </c>
      <c r="E47" s="70">
        <v>0</v>
      </c>
      <c r="F47" s="70">
        <f>69.69327+0</f>
        <v>69.693269999999998</v>
      </c>
      <c r="G47" s="23">
        <v>0</v>
      </c>
      <c r="H47" s="23">
        <v>0</v>
      </c>
    </row>
    <row r="48" spans="1:8" x14ac:dyDescent="0.25">
      <c r="A48" s="14">
        <v>41</v>
      </c>
      <c r="B48" s="17" t="s">
        <v>54</v>
      </c>
      <c r="C48" s="70">
        <v>44.589379999999998</v>
      </c>
      <c r="D48" s="70">
        <v>0</v>
      </c>
      <c r="E48" s="70">
        <v>0</v>
      </c>
      <c r="F48" s="70">
        <v>0</v>
      </c>
      <c r="G48" s="23">
        <v>0</v>
      </c>
      <c r="H48" s="23">
        <v>0</v>
      </c>
    </row>
    <row r="49" spans="1:8" x14ac:dyDescent="0.25">
      <c r="A49" s="14">
        <v>42</v>
      </c>
      <c r="B49" s="17" t="s">
        <v>55</v>
      </c>
      <c r="C49" s="70">
        <v>559.65245000000004</v>
      </c>
      <c r="D49" s="70">
        <v>0</v>
      </c>
      <c r="E49" s="70">
        <v>0</v>
      </c>
      <c r="F49" s="70">
        <v>0</v>
      </c>
      <c r="G49" s="23">
        <v>0</v>
      </c>
      <c r="H49" s="23">
        <v>0</v>
      </c>
    </row>
    <row r="50" spans="1:8" x14ac:dyDescent="0.25">
      <c r="A50" s="14">
        <v>43</v>
      </c>
      <c r="B50" s="17" t="s">
        <v>56</v>
      </c>
      <c r="C50" s="70">
        <v>169.79273000000001</v>
      </c>
      <c r="D50" s="70">
        <v>0</v>
      </c>
      <c r="E50" s="70">
        <v>0</v>
      </c>
      <c r="F50" s="70">
        <f>504.33367+0</f>
        <v>504.33366999999998</v>
      </c>
      <c r="G50" s="23">
        <v>0</v>
      </c>
      <c r="H50" s="23">
        <v>0</v>
      </c>
    </row>
    <row r="51" spans="1:8" x14ac:dyDescent="0.25">
      <c r="A51" s="14">
        <v>44</v>
      </c>
      <c r="B51" s="17" t="s">
        <v>57</v>
      </c>
      <c r="C51" s="70">
        <v>42.611310000000003</v>
      </c>
      <c r="D51" s="70">
        <v>0</v>
      </c>
      <c r="E51" s="70">
        <v>0</v>
      </c>
      <c r="F51" s="70">
        <v>0</v>
      </c>
      <c r="G51" s="23">
        <v>0</v>
      </c>
      <c r="H51" s="23">
        <v>0</v>
      </c>
    </row>
    <row r="52" spans="1:8" x14ac:dyDescent="0.25">
      <c r="A52" s="14">
        <v>45</v>
      </c>
      <c r="B52" s="17" t="s">
        <v>58</v>
      </c>
      <c r="C52" s="70">
        <v>133.88</v>
      </c>
      <c r="D52" s="70">
        <v>0</v>
      </c>
      <c r="E52" s="70">
        <v>0</v>
      </c>
      <c r="F52" s="70">
        <v>0</v>
      </c>
      <c r="G52" s="23">
        <v>0</v>
      </c>
      <c r="H52" s="23">
        <v>0</v>
      </c>
    </row>
    <row r="53" spans="1:8" x14ac:dyDescent="0.25">
      <c r="A53" s="14">
        <v>46</v>
      </c>
      <c r="B53" s="17" t="s">
        <v>59</v>
      </c>
      <c r="C53" s="70">
        <v>6.62439</v>
      </c>
      <c r="D53" s="70">
        <v>0</v>
      </c>
      <c r="E53" s="70">
        <v>0</v>
      </c>
      <c r="F53" s="70">
        <v>0</v>
      </c>
      <c r="G53" s="23">
        <v>0</v>
      </c>
      <c r="H53" s="23">
        <v>0</v>
      </c>
    </row>
    <row r="54" spans="1:8" x14ac:dyDescent="0.25">
      <c r="A54" s="14">
        <v>47</v>
      </c>
      <c r="B54" s="17" t="s">
        <v>60</v>
      </c>
      <c r="C54" s="70">
        <v>-1.2E-2</v>
      </c>
      <c r="D54" s="70">
        <v>0</v>
      </c>
      <c r="E54" s="70">
        <v>0</v>
      </c>
      <c r="F54" s="70">
        <f>93.93665+0.1779</f>
        <v>94.114549999999994</v>
      </c>
      <c r="G54" s="23">
        <v>0</v>
      </c>
      <c r="H54" s="23">
        <v>0</v>
      </c>
    </row>
    <row r="55" spans="1:8" x14ac:dyDescent="0.25">
      <c r="A55" s="14">
        <v>48</v>
      </c>
      <c r="B55" s="17" t="s">
        <v>61</v>
      </c>
      <c r="C55" s="70">
        <v>0</v>
      </c>
      <c r="D55" s="70">
        <v>0</v>
      </c>
      <c r="E55" s="70">
        <v>0</v>
      </c>
      <c r="F55" s="70">
        <f>9.56161</f>
        <v>9.5616099999999999</v>
      </c>
      <c r="G55" s="23">
        <v>0</v>
      </c>
      <c r="H55" s="23">
        <v>0</v>
      </c>
    </row>
    <row r="56" spans="1:8" x14ac:dyDescent="0.25">
      <c r="A56" s="14">
        <v>49</v>
      </c>
      <c r="B56" s="17" t="s">
        <v>62</v>
      </c>
      <c r="C56" s="70">
        <v>256.73378000000002</v>
      </c>
      <c r="D56" s="70">
        <v>0</v>
      </c>
      <c r="E56" s="70">
        <v>0</v>
      </c>
      <c r="F56" s="70">
        <v>0</v>
      </c>
      <c r="G56" s="23">
        <v>0</v>
      </c>
      <c r="H56" s="23">
        <v>0</v>
      </c>
    </row>
    <row r="57" spans="1:8" x14ac:dyDescent="0.25">
      <c r="A57" s="14">
        <v>50</v>
      </c>
      <c r="B57" s="17" t="s">
        <v>63</v>
      </c>
      <c r="C57" s="70">
        <v>15.29679</v>
      </c>
      <c r="D57" s="70">
        <v>0</v>
      </c>
      <c r="E57" s="70">
        <v>0</v>
      </c>
      <c r="F57" s="70">
        <v>0</v>
      </c>
      <c r="G57" s="23">
        <v>0</v>
      </c>
      <c r="H57" s="23">
        <v>0</v>
      </c>
    </row>
    <row r="58" spans="1:8" x14ac:dyDescent="0.25">
      <c r="A58" s="14">
        <v>51</v>
      </c>
      <c r="B58" s="17" t="s">
        <v>64</v>
      </c>
      <c r="C58" s="70">
        <v>103.20004</v>
      </c>
      <c r="D58" s="70">
        <v>0</v>
      </c>
      <c r="E58" s="70">
        <v>0</v>
      </c>
      <c r="F58" s="70">
        <f>16.56036+0</f>
        <v>16.560359999999999</v>
      </c>
      <c r="G58" s="23">
        <v>0</v>
      </c>
      <c r="H58" s="23">
        <v>0</v>
      </c>
    </row>
    <row r="59" spans="1:8" x14ac:dyDescent="0.25">
      <c r="A59" s="14">
        <v>52</v>
      </c>
      <c r="B59" s="17" t="s">
        <v>65</v>
      </c>
      <c r="C59" s="70">
        <v>355.97</v>
      </c>
      <c r="D59" s="70">
        <v>0</v>
      </c>
      <c r="E59" s="70">
        <v>0</v>
      </c>
      <c r="F59" s="70">
        <f>72.631+0</f>
        <v>72.631</v>
      </c>
      <c r="G59" s="23">
        <v>0</v>
      </c>
      <c r="H59" s="23">
        <v>0</v>
      </c>
    </row>
    <row r="60" spans="1:8" x14ac:dyDescent="0.25">
      <c r="A60" s="14">
        <v>53</v>
      </c>
      <c r="B60" s="17" t="s">
        <v>66</v>
      </c>
      <c r="C60" s="70">
        <v>3.7340200000000001</v>
      </c>
      <c r="D60" s="70">
        <v>0</v>
      </c>
      <c r="E60" s="70">
        <v>0</v>
      </c>
      <c r="F60" s="70">
        <f>92.56435+0</f>
        <v>92.564350000000005</v>
      </c>
      <c r="G60" s="23">
        <v>0</v>
      </c>
      <c r="H60" s="23">
        <v>0</v>
      </c>
    </row>
    <row r="61" spans="1:8" x14ac:dyDescent="0.25">
      <c r="A61" s="14">
        <v>54</v>
      </c>
      <c r="B61" s="17" t="s">
        <v>67</v>
      </c>
      <c r="C61" s="70">
        <v>35.22</v>
      </c>
      <c r="D61" s="70">
        <v>0</v>
      </c>
      <c r="E61" s="70">
        <v>0</v>
      </c>
      <c r="F61" s="70">
        <f>75.65+2.38</f>
        <v>78.03</v>
      </c>
      <c r="G61" s="23">
        <v>0</v>
      </c>
      <c r="H61" s="23">
        <v>0</v>
      </c>
    </row>
    <row r="62" spans="1:8" x14ac:dyDescent="0.25">
      <c r="A62" s="14">
        <v>55</v>
      </c>
      <c r="B62" s="17" t="s">
        <v>68</v>
      </c>
      <c r="C62" s="70">
        <v>0</v>
      </c>
      <c r="D62" s="70">
        <v>0</v>
      </c>
      <c r="E62" s="70">
        <v>0</v>
      </c>
      <c r="F62" s="70">
        <f>11.98902+0</f>
        <v>11.98902</v>
      </c>
      <c r="G62" s="23">
        <v>0</v>
      </c>
      <c r="H62" s="23">
        <v>0</v>
      </c>
    </row>
    <row r="63" spans="1:8" x14ac:dyDescent="0.25">
      <c r="A63" s="14">
        <v>56</v>
      </c>
      <c r="B63" s="17" t="s">
        <v>69</v>
      </c>
      <c r="C63" s="70">
        <v>0</v>
      </c>
      <c r="D63" s="70">
        <v>0</v>
      </c>
      <c r="E63" s="70">
        <v>0</v>
      </c>
      <c r="F63" s="70">
        <v>0</v>
      </c>
      <c r="G63" s="23">
        <v>0</v>
      </c>
      <c r="H63" s="23">
        <v>0</v>
      </c>
    </row>
    <row r="64" spans="1:8" x14ac:dyDescent="0.25">
      <c r="A64" s="14">
        <v>57</v>
      </c>
      <c r="B64" s="17" t="s">
        <v>70</v>
      </c>
      <c r="C64" s="70">
        <v>247.21896000000001</v>
      </c>
      <c r="D64" s="70">
        <v>0</v>
      </c>
      <c r="E64" s="70">
        <v>0</v>
      </c>
      <c r="F64" s="70">
        <v>0</v>
      </c>
      <c r="G64" s="23">
        <v>0</v>
      </c>
      <c r="H64" s="23">
        <v>0</v>
      </c>
    </row>
    <row r="65" spans="1:8" x14ac:dyDescent="0.25">
      <c r="A65" s="14">
        <v>58</v>
      </c>
      <c r="B65" s="17" t="s">
        <v>71</v>
      </c>
      <c r="C65" s="70">
        <v>0</v>
      </c>
      <c r="D65" s="70">
        <v>0</v>
      </c>
      <c r="E65" s="70">
        <v>0</v>
      </c>
      <c r="F65" s="70">
        <v>9.7449999999999995E-2</v>
      </c>
      <c r="G65" s="23">
        <v>0</v>
      </c>
      <c r="H65" s="23">
        <v>0</v>
      </c>
    </row>
    <row r="66" spans="1:8" x14ac:dyDescent="0.25">
      <c r="A66" s="14">
        <v>59</v>
      </c>
      <c r="B66" s="17" t="s">
        <v>72</v>
      </c>
      <c r="C66" s="70">
        <v>0</v>
      </c>
      <c r="D66" s="70">
        <v>0</v>
      </c>
      <c r="E66" s="70">
        <v>0</v>
      </c>
      <c r="F66" s="70"/>
      <c r="G66" s="23">
        <v>0</v>
      </c>
      <c r="H66" s="23">
        <v>0</v>
      </c>
    </row>
    <row r="67" spans="1:8" x14ac:dyDescent="0.25">
      <c r="A67" s="14">
        <v>60</v>
      </c>
      <c r="B67" s="17" t="s">
        <v>73</v>
      </c>
      <c r="C67" s="70">
        <v>0</v>
      </c>
      <c r="D67" s="70">
        <v>0</v>
      </c>
      <c r="E67" s="70">
        <v>0</v>
      </c>
      <c r="F67" s="70">
        <f>0</f>
        <v>0</v>
      </c>
      <c r="G67" s="23">
        <v>0</v>
      </c>
      <c r="H67" s="23">
        <v>0</v>
      </c>
    </row>
    <row r="68" spans="1:8" x14ac:dyDescent="0.25">
      <c r="A68" s="14">
        <v>61</v>
      </c>
      <c r="B68" s="17" t="s">
        <v>74</v>
      </c>
      <c r="C68" s="70">
        <v>0</v>
      </c>
      <c r="D68" s="70">
        <v>0</v>
      </c>
      <c r="E68" s="70">
        <v>0</v>
      </c>
      <c r="F68" s="70">
        <v>-1.349E-2</v>
      </c>
      <c r="G68" s="23">
        <v>0</v>
      </c>
      <c r="H68" s="23">
        <v>0</v>
      </c>
    </row>
    <row r="69" spans="1:8" x14ac:dyDescent="0.25">
      <c r="A69" s="14">
        <v>62</v>
      </c>
      <c r="B69" s="17" t="s">
        <v>75</v>
      </c>
      <c r="C69" s="70">
        <v>9.4600000000000009</v>
      </c>
      <c r="D69" s="70">
        <v>0</v>
      </c>
      <c r="E69" s="70">
        <v>0</v>
      </c>
      <c r="F69" s="70"/>
      <c r="G69" s="23">
        <v>0</v>
      </c>
      <c r="H69" s="23">
        <v>0</v>
      </c>
    </row>
    <row r="70" spans="1:8" x14ac:dyDescent="0.25">
      <c r="A70" s="14">
        <v>63</v>
      </c>
      <c r="B70" s="17" t="s">
        <v>76</v>
      </c>
      <c r="C70" s="70">
        <v>0</v>
      </c>
      <c r="D70" s="70">
        <v>0</v>
      </c>
      <c r="E70" s="70">
        <v>0</v>
      </c>
      <c r="F70" s="70"/>
      <c r="G70" s="23">
        <v>0</v>
      </c>
      <c r="H70" s="23">
        <v>0</v>
      </c>
    </row>
    <row r="71" spans="1:8" x14ac:dyDescent="0.25">
      <c r="A71" s="14">
        <v>64</v>
      </c>
      <c r="B71" s="17" t="s">
        <v>77</v>
      </c>
      <c r="C71" s="70">
        <v>13.516920000000001</v>
      </c>
      <c r="D71" s="70">
        <v>0</v>
      </c>
      <c r="E71" s="70">
        <v>0</v>
      </c>
      <c r="F71" s="70">
        <v>0</v>
      </c>
      <c r="G71" s="23">
        <v>0</v>
      </c>
      <c r="H71" s="23">
        <v>0</v>
      </c>
    </row>
    <row r="72" spans="1:8" x14ac:dyDescent="0.25">
      <c r="A72" s="14">
        <v>65</v>
      </c>
      <c r="B72" s="17" t="s">
        <v>78</v>
      </c>
      <c r="C72" s="70">
        <v>0</v>
      </c>
      <c r="D72" s="70">
        <v>0</v>
      </c>
      <c r="E72" s="70">
        <v>0</v>
      </c>
      <c r="F72" s="70">
        <v>0</v>
      </c>
      <c r="G72" s="23">
        <v>0</v>
      </c>
      <c r="H72" s="23">
        <v>0</v>
      </c>
    </row>
    <row r="73" spans="1:8" x14ac:dyDescent="0.25">
      <c r="A73" s="14">
        <v>66</v>
      </c>
      <c r="B73" s="17" t="s">
        <v>79</v>
      </c>
      <c r="C73" s="70">
        <v>0</v>
      </c>
      <c r="D73" s="70">
        <v>0</v>
      </c>
      <c r="E73" s="70">
        <v>0</v>
      </c>
      <c r="F73" s="70">
        <v>4.0292899999999996</v>
      </c>
      <c r="G73" s="23">
        <v>0</v>
      </c>
      <c r="H73" s="23">
        <v>0</v>
      </c>
    </row>
    <row r="74" spans="1:8" ht="36" x14ac:dyDescent="0.25">
      <c r="A74" s="14">
        <v>67</v>
      </c>
      <c r="B74" s="17" t="s">
        <v>151</v>
      </c>
      <c r="C74" s="70">
        <v>0</v>
      </c>
      <c r="D74" s="70">
        <v>0</v>
      </c>
      <c r="E74" s="70">
        <v>0</v>
      </c>
      <c r="F74" s="70">
        <v>20.636579999999999</v>
      </c>
      <c r="G74" s="23">
        <v>0</v>
      </c>
      <c r="H74" s="23">
        <v>0</v>
      </c>
    </row>
    <row r="75" spans="1:8" ht="36" x14ac:dyDescent="0.25">
      <c r="A75" s="14">
        <v>68</v>
      </c>
      <c r="B75" s="17" t="s">
        <v>152</v>
      </c>
      <c r="C75" s="72">
        <v>25.258569999999999</v>
      </c>
      <c r="D75" s="70">
        <v>0</v>
      </c>
      <c r="E75" s="70">
        <v>0</v>
      </c>
      <c r="F75" s="70"/>
      <c r="G75" s="23">
        <v>0</v>
      </c>
      <c r="H75" s="23">
        <v>0</v>
      </c>
    </row>
    <row r="76" spans="1:8" ht="36" x14ac:dyDescent="0.25">
      <c r="A76" s="14">
        <v>69</v>
      </c>
      <c r="B76" s="17" t="s">
        <v>153</v>
      </c>
      <c r="C76" s="70">
        <v>50.42174</v>
      </c>
      <c r="D76" s="70">
        <v>0</v>
      </c>
      <c r="E76" s="70">
        <v>0</v>
      </c>
      <c r="F76" s="70">
        <v>6.4252200000000004</v>
      </c>
      <c r="G76" s="23">
        <v>0</v>
      </c>
      <c r="H76" s="23">
        <v>0</v>
      </c>
    </row>
    <row r="77" spans="1:8" ht="36" x14ac:dyDescent="0.25">
      <c r="A77" s="14">
        <v>70</v>
      </c>
      <c r="B77" s="17" t="s">
        <v>154</v>
      </c>
      <c r="C77" s="70">
        <v>5.3949299999999996</v>
      </c>
      <c r="D77" s="70">
        <v>0</v>
      </c>
      <c r="E77" s="70">
        <v>0</v>
      </c>
      <c r="F77" s="70">
        <v>13.65183</v>
      </c>
      <c r="G77" s="23">
        <v>0</v>
      </c>
      <c r="H77" s="23">
        <v>0</v>
      </c>
    </row>
    <row r="78" spans="1:8" ht="36" x14ac:dyDescent="0.25">
      <c r="A78" s="14">
        <v>71</v>
      </c>
      <c r="B78" s="17" t="s">
        <v>155</v>
      </c>
      <c r="C78" s="72">
        <v>1.95652</v>
      </c>
      <c r="D78" s="70">
        <v>0</v>
      </c>
      <c r="E78" s="70">
        <v>0</v>
      </c>
      <c r="F78" s="72">
        <v>8.06602</v>
      </c>
      <c r="G78" s="23">
        <v>0</v>
      </c>
      <c r="H78" s="23">
        <v>0</v>
      </c>
    </row>
    <row r="79" spans="1:8" x14ac:dyDescent="0.25">
      <c r="A79" s="14">
        <v>72</v>
      </c>
      <c r="B79" s="17" t="s">
        <v>156</v>
      </c>
      <c r="C79" s="70">
        <v>0</v>
      </c>
      <c r="D79" s="70">
        <v>0</v>
      </c>
      <c r="E79" s="70">
        <v>0</v>
      </c>
      <c r="F79" s="70">
        <v>25.953769999999999</v>
      </c>
      <c r="G79" s="23">
        <v>0</v>
      </c>
      <c r="H79" s="23">
        <v>0</v>
      </c>
    </row>
    <row r="80" spans="1:8" x14ac:dyDescent="0.25">
      <c r="A80" s="13"/>
      <c r="B80" s="18" t="s">
        <v>131</v>
      </c>
      <c r="C80" s="73">
        <f t="shared" ref="C80:H80" si="0">SUM(C8:C79)</f>
        <v>5769.1142000000027</v>
      </c>
      <c r="D80" s="73">
        <f t="shared" si="0"/>
        <v>0</v>
      </c>
      <c r="E80" s="73">
        <f t="shared" si="0"/>
        <v>0</v>
      </c>
      <c r="F80" s="73">
        <f t="shared" si="0"/>
        <v>3499.4563716000016</v>
      </c>
      <c r="G80" s="24">
        <f t="shared" si="0"/>
        <v>0</v>
      </c>
      <c r="H80" s="24">
        <f t="shared" si="0"/>
        <v>0</v>
      </c>
    </row>
    <row r="81" spans="6:6" ht="13.9" x14ac:dyDescent="0.25">
      <c r="F81" s="41"/>
    </row>
  </sheetData>
  <mergeCells count="10">
    <mergeCell ref="H5:H7"/>
    <mergeCell ref="C6:C7"/>
    <mergeCell ref="D6:E6"/>
    <mergeCell ref="F6:F7"/>
    <mergeCell ref="G6:G7"/>
    <mergeCell ref="A5:A7"/>
    <mergeCell ref="B5:B7"/>
    <mergeCell ref="C5:E5"/>
    <mergeCell ref="F5:G5"/>
    <mergeCell ref="B2:G2"/>
  </mergeCells>
  <pageMargins left="0.23622047244094491" right="0.23622047244094491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Форма 1</vt:lpstr>
      <vt:lpstr>Форма 2 </vt:lpstr>
      <vt:lpstr>Форма 3</vt:lpstr>
      <vt:lpstr>Форма 4</vt:lpstr>
      <vt:lpstr>Форма 5</vt:lpstr>
      <vt:lpstr>Форма 6</vt:lpstr>
      <vt:lpstr>'Форма 1'!Заголовки_для_печати</vt:lpstr>
      <vt:lpstr>'Форма 2 '!Заголовки_для_печати</vt:lpstr>
      <vt:lpstr>'Форма 3'!Заголовки_для_печати</vt:lpstr>
      <vt:lpstr>'Форма 4'!Заголовки_для_печати</vt:lpstr>
      <vt:lpstr>'Форма 5'!Заголовки_для_печати</vt:lpstr>
      <vt:lpstr>'Форма 6'!Заголовки_для_печати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МОУ</dc:creator>
  <cp:lastModifiedBy>Иван Шевелев</cp:lastModifiedBy>
  <cp:lastPrinted>2016-01-11T04:50:08Z</cp:lastPrinted>
  <dcterms:created xsi:type="dcterms:W3CDTF">2014-02-26T03:24:40Z</dcterms:created>
  <dcterms:modified xsi:type="dcterms:W3CDTF">2016-06-02T03:53:23Z</dcterms:modified>
</cp:coreProperties>
</file>